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05" activeTab="1"/>
  </bookViews>
  <sheets>
    <sheet name="bao cao thu" sheetId="1" r:id="rId1"/>
    <sheet name="bao cao chi" sheetId="2" r:id="rId2"/>
  </sheets>
  <definedNames>
    <definedName name="_xlnm.Print_Titles" localSheetId="1">'bao cao chi'!$3:$6</definedName>
  </definedNames>
  <calcPr fullCalcOnLoad="1"/>
</workbook>
</file>

<file path=xl/sharedStrings.xml><?xml version="1.0" encoding="utf-8"?>
<sst xmlns="http://schemas.openxmlformats.org/spreadsheetml/2006/main" count="245" uniqueCount="232">
  <si>
    <t>Chỉ tiêu</t>
  </si>
  <si>
    <t>Đơn vị : đồng</t>
  </si>
  <si>
    <t>Mục</t>
  </si>
  <si>
    <t>Ngân sách chi thường xuyên</t>
  </si>
  <si>
    <t>I.</t>
  </si>
  <si>
    <t>II.</t>
  </si>
  <si>
    <t>Nội dung</t>
  </si>
  <si>
    <t>A.</t>
  </si>
  <si>
    <t>Chi thanh toán cá nhân</t>
  </si>
  <si>
    <t>Chi hoạt động thường xuyên</t>
  </si>
  <si>
    <t>Tiền lương</t>
  </si>
  <si>
    <t>Lương biên chế</t>
  </si>
  <si>
    <t>Tiền công</t>
  </si>
  <si>
    <t>Phụ cấp lương</t>
  </si>
  <si>
    <t>Học bổng sinh viên</t>
  </si>
  <si>
    <t>Tiền thưởng</t>
  </si>
  <si>
    <t>Phúc lợi tập thể</t>
  </si>
  <si>
    <t>Các khoản đóng góp</t>
  </si>
  <si>
    <t>Chi phí nghiệp vụ chuyên môn</t>
  </si>
  <si>
    <t>B.</t>
  </si>
  <si>
    <t>Thanh toán dịch vụ công cộng</t>
  </si>
  <si>
    <t>Tiền điện</t>
  </si>
  <si>
    <t>Tiền nước</t>
  </si>
  <si>
    <t>Tiền nhiên liệu xe ô tô</t>
  </si>
  <si>
    <t>Vệ sinh môi trường</t>
  </si>
  <si>
    <t>Vật tư văn phòng</t>
  </si>
  <si>
    <t>Văn phòng phẩm</t>
  </si>
  <si>
    <t>Công cụ, dụng cụ văn phòng</t>
  </si>
  <si>
    <t>Vật tư văn phòng khác</t>
  </si>
  <si>
    <t>Thông tin liên lạc</t>
  </si>
  <si>
    <t>Khác</t>
  </si>
  <si>
    <t>Hội nghị</t>
  </si>
  <si>
    <t>Hội nghị cán bộ công chức</t>
  </si>
  <si>
    <t>Hội nghị sơ kết học kỳ I</t>
  </si>
  <si>
    <t>Hội nghị tổng kết năm học</t>
  </si>
  <si>
    <t>Công tác phí</t>
  </si>
  <si>
    <t>Tiền vé máy bay, tàu xe</t>
  </si>
  <si>
    <t>Phụ cấp lưu trú</t>
  </si>
  <si>
    <t>Tiền thuê phòng nghỉ</t>
  </si>
  <si>
    <t>Khoán công tác phí</t>
  </si>
  <si>
    <t>Chi phí thuê mướn</t>
  </si>
  <si>
    <t>Thuê phương tiện vận chuyển</t>
  </si>
  <si>
    <t>Thuê giảng viên trong nước</t>
  </si>
  <si>
    <t>Chi phí thuê mướn khác</t>
  </si>
  <si>
    <t>Chi đoàn ra</t>
  </si>
  <si>
    <t>Chi đoàn vào</t>
  </si>
  <si>
    <t>Bảo hộ lao động</t>
  </si>
  <si>
    <t>Sách, tài liệu chuyên môn</t>
  </si>
  <si>
    <t>Sửa chữa, mua sắm hàng hóa</t>
  </si>
  <si>
    <t>C.</t>
  </si>
  <si>
    <t>Sửa chữa nhỏ thường xuyên tài sản</t>
  </si>
  <si>
    <t>Sửa chữa ô tô</t>
  </si>
  <si>
    <t>Sửa chữa điện, nước</t>
  </si>
  <si>
    <t>Sửa chữa máy vi tính, máy in, photocopy</t>
  </si>
  <si>
    <t>Sửa chữa máy điều hòa nhiệt độ</t>
  </si>
  <si>
    <t>Sửa chữa máy móc khác</t>
  </si>
  <si>
    <t>Sửa chữa lớn TSCĐ</t>
  </si>
  <si>
    <t>TSCĐ chuyên môn</t>
  </si>
  <si>
    <t>TTB văn phòng</t>
  </si>
  <si>
    <t>Bàn ghế, đồ gỗ, nhựa</t>
  </si>
  <si>
    <t>Tài sản khác</t>
  </si>
  <si>
    <t>D.</t>
  </si>
  <si>
    <t>Các khoản chi khác</t>
  </si>
  <si>
    <t>Chi các khoản phí, lệ phí</t>
  </si>
  <si>
    <t>Chi bảo hiểm phương tiện tài sản</t>
  </si>
  <si>
    <t>Chi tiếp khách</t>
  </si>
  <si>
    <t>Mua sắm hàng hóa, TSCĐ hữu hình</t>
  </si>
  <si>
    <t>Mua sắm TSCĐ vô hình</t>
  </si>
  <si>
    <t>Chi khác</t>
  </si>
  <si>
    <t>Các khoản phải nộp ngân sách nhà nước</t>
  </si>
  <si>
    <t>Tổng cộng : (I + II)</t>
  </si>
  <si>
    <t>Trợ cấp khó khăn đột xuất</t>
  </si>
  <si>
    <t>NSNN</t>
  </si>
  <si>
    <t>Nguồn khác</t>
  </si>
  <si>
    <t>tự chủ</t>
  </si>
  <si>
    <t>Tổng cộng</t>
  </si>
  <si>
    <t xml:space="preserve">không </t>
  </si>
  <si>
    <t xml:space="preserve">       Nguồn kinh phí tự chủ</t>
  </si>
  <si>
    <t>Nguồn KP</t>
  </si>
  <si>
    <t>Số</t>
  </si>
  <si>
    <t>TT</t>
  </si>
  <si>
    <t>(Nội dung)</t>
  </si>
  <si>
    <t>chi</t>
  </si>
  <si>
    <t xml:space="preserve">Phí, lệ phí </t>
  </si>
  <si>
    <t>Nguồn thu sự nghiệp khác</t>
  </si>
  <si>
    <t xml:space="preserve">                  BỘ Y TẾ</t>
  </si>
  <si>
    <t>Lương tập sự, công chức dự bị</t>
  </si>
  <si>
    <t>Tiền công trả cho lao động thường xuyên 
theo hợp đồng</t>
  </si>
  <si>
    <t>Phụ cấp chức vụ</t>
  </si>
  <si>
    <t>Phụ cấp thêm giờ</t>
  </si>
  <si>
    <t>Phụ cấp độc hại, nguy hiểm</t>
  </si>
  <si>
    <t>Phụ cấp kiêm nhiệm</t>
  </si>
  <si>
    <t>Thưởng thường xuyên theo định mức</t>
  </si>
  <si>
    <t>Thưởng đột xuất theo định mức</t>
  </si>
  <si>
    <t>Trợ cấp khó khăn thường xuyên</t>
  </si>
  <si>
    <t>Tiền tàu xe nghỉ phép năm</t>
  </si>
  <si>
    <t>Tiền thuốc y tế trong các cơ quan, đơn vị</t>
  </si>
  <si>
    <t>Tiền nước uống</t>
  </si>
  <si>
    <t>Các khỏan khác</t>
  </si>
  <si>
    <t>Các khoản thanh toán khác cho cá nhân</t>
  </si>
  <si>
    <t>Khóan văn phòng phẩm</t>
  </si>
  <si>
    <t>Cước phí điên thọai trong nước</t>
  </si>
  <si>
    <t>Cước phí điện thọai quốc tế</t>
  </si>
  <si>
    <t>Cước phí bưu chính</t>
  </si>
  <si>
    <t>Fax</t>
  </si>
  <si>
    <t>Thuê bao kênh vệ tinh</t>
  </si>
  <si>
    <t>Tuyên truyền</t>
  </si>
  <si>
    <t>Quảng cáo</t>
  </si>
  <si>
    <t>Phim ảnh</t>
  </si>
  <si>
    <t>Ấn phẩm truyền thông</t>
  </si>
  <si>
    <t>Sách, báo, tạp chí thư viện</t>
  </si>
  <si>
    <t>Thuê bao đường điện thọai</t>
  </si>
  <si>
    <t>Thuê bao cáp truyền hình</t>
  </si>
  <si>
    <t>Cước phí internet, thư viện điện tử</t>
  </si>
  <si>
    <t>Khóan điện thọai</t>
  </si>
  <si>
    <t>TTB chuyên dụng không phải là TSCĐ</t>
  </si>
  <si>
    <t>Chi mua súc vật</t>
  </si>
  <si>
    <t xml:space="preserve">Phụ cấp khác </t>
  </si>
  <si>
    <r>
      <t xml:space="preserve">TRƯỜNG </t>
    </r>
    <r>
      <rPr>
        <b/>
        <u val="single"/>
        <sz val="10"/>
        <rFont val="Times New Roman"/>
        <family val="1"/>
      </rPr>
      <t>ĐẠI HỌC Y DƯỢ</t>
    </r>
    <r>
      <rPr>
        <b/>
        <sz val="10"/>
        <rFont val="Times New Roman"/>
        <family val="1"/>
      </rPr>
      <t>C CẦN THƠ</t>
    </r>
  </si>
  <si>
    <t>1.1</t>
  </si>
  <si>
    <t>Nguồn ngân sách nhà nước giao
 tự chủ</t>
  </si>
  <si>
    <t>Nguồn ngân sách nhà nước chưa 
giao tự chủ</t>
  </si>
  <si>
    <t>1.2</t>
  </si>
  <si>
    <t>2.1</t>
  </si>
  <si>
    <t>2.2</t>
  </si>
  <si>
    <t>2.3</t>
  </si>
  <si>
    <t>Chi mua hàng hóa, vật tư dùng cho chuyên môn của từng ngành</t>
  </si>
  <si>
    <t>Chi mua, in ấn phôtô tài liệu chỉ dùng cho chuyên  môn của ngành</t>
  </si>
  <si>
    <t>Phụ cấp ưu đãi ngành</t>
  </si>
  <si>
    <t>Tết dương lịch</t>
  </si>
  <si>
    <t>Họp mặt tết</t>
  </si>
  <si>
    <t>Tham quan du lịch</t>
  </si>
  <si>
    <t>Lễ 27/02</t>
  </si>
  <si>
    <t>Lễ 08/03</t>
  </si>
  <si>
    <t>Lễ 30/04</t>
  </si>
  <si>
    <t>Lễ 01/06</t>
  </si>
  <si>
    <t>Lễ 02/09</t>
  </si>
  <si>
    <t>Lễ 20/10</t>
  </si>
  <si>
    <t>Lễ 20/11</t>
  </si>
  <si>
    <t>Hội nghị quản lý hành chánh</t>
  </si>
  <si>
    <t>Chi khác (tổ chức thi…..)</t>
  </si>
  <si>
    <t>Lương tháng 13</t>
  </si>
  <si>
    <r>
      <t>Phần 3</t>
    </r>
    <r>
      <rPr>
        <b/>
        <sz val="10"/>
        <rFont val="Times New Roman"/>
        <family val="1"/>
      </rPr>
      <t xml:space="preserve"> : Chênh lệch thu-chi (dự kiến)</t>
    </r>
  </si>
  <si>
    <t xml:space="preserve">                                            CỘNG HÒA XÃ HỘI CHỦ NGHĨA VIỆT NAM</t>
  </si>
  <si>
    <r>
      <t xml:space="preserve">                                                              </t>
    </r>
    <r>
      <rPr>
        <b/>
        <u val="single"/>
        <sz val="10"/>
        <rFont val="Times New Roman"/>
        <family val="1"/>
      </rPr>
      <t>Độc Lập - Tự Do - Hạnh Phúc</t>
    </r>
  </si>
  <si>
    <t xml:space="preserve">                            PHẠM VĂN LÌNH</t>
  </si>
  <si>
    <t>A</t>
  </si>
  <si>
    <t>B</t>
  </si>
  <si>
    <t>NGUỒN NĂM TRƯỚC CHUYỂN SANG</t>
  </si>
  <si>
    <t>CÁC KHOẢN THU</t>
  </si>
  <si>
    <t>Thu kinh phí đào tạo ngòai ngân sách</t>
  </si>
  <si>
    <t>Thu kinh phí đào tạo theo địa chỉ sử dụng</t>
  </si>
  <si>
    <t>Tổng thu</t>
  </si>
  <si>
    <t>Tổng KP được sử dụng</t>
  </si>
  <si>
    <r>
      <t>Phần 1</t>
    </r>
    <r>
      <rPr>
        <b/>
        <sz val="12"/>
        <rFont val="Times New Roman"/>
        <family val="1"/>
      </rPr>
      <t xml:space="preserve"> : Nguồn kinh phí hoạt động (các khoản thu)</t>
    </r>
  </si>
  <si>
    <t>Tết âm lịch</t>
  </si>
  <si>
    <t>III.</t>
  </si>
  <si>
    <t>CHÊNH LỆCH THU - CHI (dự kiến)</t>
  </si>
  <si>
    <t xml:space="preserve">Tổng kết phát bằng </t>
  </si>
  <si>
    <t xml:space="preserve">Khai giảng </t>
  </si>
  <si>
    <t>Tiền giảng các lớp ngắn hạn</t>
  </si>
  <si>
    <t>Tiền giảng đào tạo đại học</t>
  </si>
  <si>
    <t>Tiền giảng đào tạo sau đại học</t>
  </si>
  <si>
    <t>Tiền giảng đào tạo cử tuyển</t>
  </si>
  <si>
    <t>Học bổng sinh  viên và hỗ trợ HB vượt khó</t>
  </si>
  <si>
    <t xml:space="preserve">                          Dự toán chi năm học 2012-2013</t>
  </si>
  <si>
    <t>Chi chênh lệch thu nhập thực tế so với lương ngạch bậc, chức vụ.</t>
  </si>
  <si>
    <t>Khác (bảo vệ, an ninh trật tự...)</t>
  </si>
  <si>
    <t xml:space="preserve">Chi thuê mướn bệnh nhân giả </t>
  </si>
  <si>
    <t>Thực tập cộng đồng, quản lý phí 
và hóa chất vật tư cho các BVTH</t>
  </si>
  <si>
    <t xml:space="preserve">Phụ cấp thâm niên </t>
  </si>
  <si>
    <t>Phụ cấp  phụ cấp vượt khung</t>
  </si>
  <si>
    <t>Hội nghị giao ban công tác nhà trường
 (triển khai chương trình đào tạo đại học, sau đại học...)</t>
  </si>
  <si>
    <t>C : Thực chi hoạt động nguồn ngân sách giao tự chủ &amp; không tự chủ (các khoản chi)</t>
  </si>
  <si>
    <t xml:space="preserve">                                           DỰ TOÁN THU CHI TÀI CHÍNH </t>
  </si>
  <si>
    <t>Thuê nhà, hội trường
 (tuần SH công dân, khai giảng...)</t>
  </si>
  <si>
    <t>BHYT (3%)</t>
  </si>
  <si>
    <t>Kinh phí công đoàn (2%)</t>
  </si>
  <si>
    <t>Khác (BHTN) 1%</t>
  </si>
  <si>
    <t>Các hội nghị khác (HN khoa học...)</t>
  </si>
  <si>
    <t>Các buổi họp mặt, hội nghị chuyên môn 
khác (tuần sinh hoạt đầu năm...  )</t>
  </si>
  <si>
    <t xml:space="preserve">Nhà cửa </t>
  </si>
  <si>
    <t xml:space="preserve">                     + Số kinh phí trích lập quỹ :</t>
  </si>
  <si>
    <t>Thực chi</t>
  </si>
  <si>
    <t>Dự kiến</t>
  </si>
  <si>
    <t>Sửa chữa khác</t>
  </si>
  <si>
    <t>Thuế đào tạo theo ĐCSD</t>
  </si>
  <si>
    <t xml:space="preserve">Thuế các lớp đào tạo ngắn hạn </t>
  </si>
  <si>
    <t>Trong đó :  + Số kinh phí cải cách tiền lương 40% số thu HP theo NĐ49:</t>
  </si>
  <si>
    <t xml:space="preserve">              Hiệu trưởng</t>
  </si>
  <si>
    <t xml:space="preserve">           Phạm Văn Lình</t>
  </si>
  <si>
    <t>2014-2015</t>
  </si>
  <si>
    <t>Sửa chữa nhà cửa</t>
  </si>
  <si>
    <t>BHXH (18%)</t>
  </si>
  <si>
    <t>Tuyển sinh liên thông, sau đại học, 
ôn thi đầu vào</t>
  </si>
  <si>
    <t>Các chi phí khác theo chế độ liên quan đến công tác khen thưởng</t>
  </si>
  <si>
    <t xml:space="preserve">                                                    NĂM HỌC 2015-2016</t>
  </si>
  <si>
    <t>Dự kiến năm 2015-2016</t>
  </si>
  <si>
    <t>Thực hiện năm 2014-2015</t>
  </si>
  <si>
    <t xml:space="preserve">                       Dự toán chi năm học 2015-2016</t>
  </si>
  <si>
    <t>2015-2016</t>
  </si>
  <si>
    <t>Tổng kinh phí năm 2014-2015 chuyển sang</t>
  </si>
  <si>
    <t>Tổng thu dự kiến năm học 2015-2016 :</t>
  </si>
  <si>
    <t>Tổng  kinh phí được sử dụng năm học 2015-2016 :</t>
  </si>
  <si>
    <t>Tổng chi năm học 2015-2016:</t>
  </si>
  <si>
    <t>Chênh lệch thu chi dự kiến năm học 2015-2016:</t>
  </si>
  <si>
    <t>Chi hỗ trợ cho công tác Đoàn, hội</t>
  </si>
  <si>
    <t>Chi hỗ trợ cho công tác Đảng</t>
  </si>
  <si>
    <t>Chi hỗ trợ cho công Đoàn</t>
  </si>
  <si>
    <t>Chi hỗ trợ hội cựu chiến binh</t>
  </si>
  <si>
    <t>Phụ cấp trách nhiệm</t>
  </si>
  <si>
    <t>Thuê lao động trong nước</t>
  </si>
  <si>
    <t xml:space="preserve">Chi phí nghiệp vụ chuyên môn khác
 (thẩm định mở mã ngành 268,5t,
 hướng dẫn luận văn, luận án (1050,5t), trích quản lý phí các lớp cho địa phương 1.288t). </t>
  </si>
  <si>
    <t xml:space="preserve">Hợp đồng đào tạo lại và hỗ trợ CB đi học
Thạc sĩ (26): 1.275.000.000 đ
Tiến sĩ (58), CK2 (4): 2.000.000.000 đ
</t>
  </si>
  <si>
    <t>II. DỰ ÁN ĐẦU TƯ XDCB</t>
  </si>
  <si>
    <t>Kinh phí thực hiện</t>
  </si>
  <si>
    <t>Thu học phí  (theo NĐ của Chính Phủ)</t>
  </si>
  <si>
    <t>Đào tạo đại học (NSNN cấp)</t>
  </si>
  <si>
    <t>Đào tạo sau đại học (NSNN cấp)</t>
  </si>
  <si>
    <t>Đào tạo lại, bồi dưỡng cán 
bộ công chức (NSNN cấp)</t>
  </si>
  <si>
    <t>Nghiên cứu khoa học (NSNN cấp)</t>
  </si>
  <si>
    <t xml:space="preserve">Đào tạo khác trong nước (NSNN cấp)
 </t>
  </si>
  <si>
    <t>Mua sắm 6,7 tỷ, miễn giảm 3,5 tỷ</t>
  </si>
  <si>
    <t>3.1 Hoạt động KHCN</t>
  </si>
  <si>
    <t>Trích lập kinh phí phục vụ các hoạt động KHCN, hoạt động hỗ trợ sinh viên/quỹ học bổng</t>
  </si>
  <si>
    <t>5% Tổng thu các nguồn lực hỗ trợ hoạt động KHCN (306.671 tỷ x 5%)</t>
  </si>
  <si>
    <t>3% Thu học phí hỗ trợ hoạt động KHCN của SV  (234.316 tỷ x 3%)</t>
  </si>
  <si>
    <t>III</t>
  </si>
  <si>
    <t>Thu từ hoạt động KHCN</t>
  </si>
  <si>
    <t>Chi từ hoạt động KHCN</t>
  </si>
  <si>
    <t xml:space="preserve">                     + Số kinh phí chuyển năm sau :</t>
  </si>
  <si>
    <t>Cần Thơ, ngày     tháng      năm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</si>
</sst>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6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8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6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4" fillId="0" borderId="6" xfId="15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3" fontId="15" fillId="0" borderId="6" xfId="0" applyNumberFormat="1" applyFont="1" applyFill="1" applyBorder="1" applyAlignment="1">
      <alignment/>
    </xf>
    <xf numFmtId="169" fontId="4" fillId="0" borderId="5" xfId="15" applyNumberFormat="1" applyFont="1" applyFill="1" applyBorder="1" applyAlignment="1">
      <alignment horizontal="center"/>
    </xf>
    <xf numFmtId="169" fontId="3" fillId="0" borderId="8" xfId="15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right"/>
    </xf>
    <xf numFmtId="169" fontId="4" fillId="0" borderId="8" xfId="15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3" fillId="0" borderId="6" xfId="15" applyNumberFormat="1" applyFont="1" applyFill="1" applyBorder="1" applyAlignment="1">
      <alignment/>
    </xf>
    <xf numFmtId="169" fontId="4" fillId="0" borderId="0" xfId="15" applyNumberFormat="1" applyFont="1" applyFill="1" applyAlignment="1">
      <alignment/>
    </xf>
    <xf numFmtId="169" fontId="8" fillId="0" borderId="0" xfId="15" applyNumberFormat="1" applyFont="1" applyFill="1" applyAlignment="1">
      <alignment/>
    </xf>
    <xf numFmtId="3" fontId="4" fillId="0" borderId="6" xfId="0" applyNumberFormat="1" applyFont="1" applyFill="1" applyBorder="1" applyAlignment="1">
      <alignment shrinkToFit="1"/>
    </xf>
    <xf numFmtId="3" fontId="17" fillId="0" borderId="6" xfId="0" applyNumberFormat="1" applyFont="1" applyFill="1" applyBorder="1" applyAlignment="1">
      <alignment/>
    </xf>
    <xf numFmtId="3" fontId="18" fillId="0" borderId="6" xfId="0" applyNumberFormat="1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69" fontId="4" fillId="0" borderId="7" xfId="15" applyNumberFormat="1" applyFont="1" applyFill="1" applyBorder="1" applyAlignment="1">
      <alignment horizontal="center"/>
    </xf>
    <xf numFmtId="169" fontId="4" fillId="0" borderId="8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2">
      <selection activeCell="D29" sqref="D29"/>
    </sheetView>
  </sheetViews>
  <sheetFormatPr defaultColWidth="9.140625" defaultRowHeight="12.75"/>
  <cols>
    <col min="1" max="1" width="5.140625" style="0" customWidth="1"/>
    <col min="2" max="2" width="33.57421875" style="0" customWidth="1"/>
    <col min="4" max="4" width="17.28125" style="0" customWidth="1"/>
    <col min="6" max="6" width="22.421875" style="0" customWidth="1"/>
    <col min="7" max="7" width="15.140625" style="0" bestFit="1" customWidth="1"/>
  </cols>
  <sheetData>
    <row r="1" spans="2:3" s="1" customFormat="1" ht="12.75">
      <c r="B1" s="2" t="s">
        <v>85</v>
      </c>
      <c r="C1" s="2" t="s">
        <v>143</v>
      </c>
    </row>
    <row r="2" spans="1:3" s="1" customFormat="1" ht="12.75">
      <c r="A2" s="2" t="s">
        <v>118</v>
      </c>
      <c r="C2" s="2" t="s">
        <v>144</v>
      </c>
    </row>
    <row r="3" spans="1:3" s="1" customFormat="1" ht="12.75">
      <c r="A3" s="2"/>
      <c r="C3" s="2"/>
    </row>
    <row r="4" s="54" customFormat="1" ht="15.75">
      <c r="B4" s="55" t="s">
        <v>174</v>
      </c>
    </row>
    <row r="5" s="54" customFormat="1" ht="15.75">
      <c r="B5" s="55" t="s">
        <v>196</v>
      </c>
    </row>
    <row r="6" s="1" customFormat="1" ht="13.5">
      <c r="F6" s="3" t="s">
        <v>1</v>
      </c>
    </row>
    <row r="7" s="54" customFormat="1" ht="15.75">
      <c r="A7" s="56" t="s">
        <v>154</v>
      </c>
    </row>
    <row r="8" s="1" customFormat="1" ht="12.75">
      <c r="A8" s="14"/>
    </row>
    <row r="9" spans="1:6" s="1" customFormat="1" ht="15.75">
      <c r="A9" s="57" t="s">
        <v>79</v>
      </c>
      <c r="B9" s="57" t="s">
        <v>0</v>
      </c>
      <c r="C9" s="93" t="s">
        <v>197</v>
      </c>
      <c r="D9" s="94"/>
      <c r="E9" s="93" t="s">
        <v>198</v>
      </c>
      <c r="F9" s="94"/>
    </row>
    <row r="10" spans="1:6" s="1" customFormat="1" ht="15.75">
      <c r="A10" s="58" t="s">
        <v>80</v>
      </c>
      <c r="B10" s="58" t="s">
        <v>81</v>
      </c>
      <c r="C10" s="95"/>
      <c r="D10" s="96"/>
      <c r="E10" s="95"/>
      <c r="F10" s="96"/>
    </row>
    <row r="11" spans="1:6" s="1" customFormat="1" ht="12.75">
      <c r="A11" s="7" t="s">
        <v>146</v>
      </c>
      <c r="B11" s="7" t="s">
        <v>148</v>
      </c>
      <c r="C11" s="97">
        <f>'bao cao chi'!J161</f>
        <v>22873002226</v>
      </c>
      <c r="D11" s="98"/>
      <c r="E11" s="32"/>
      <c r="F11" s="67">
        <v>21048277828</v>
      </c>
    </row>
    <row r="12" spans="1:6" s="1" customFormat="1" ht="12.75">
      <c r="A12" s="7" t="s">
        <v>147</v>
      </c>
      <c r="B12" s="7" t="s">
        <v>149</v>
      </c>
      <c r="C12" s="32"/>
      <c r="D12" s="60">
        <f>D13+D22</f>
        <v>306670705000</v>
      </c>
      <c r="E12" s="32"/>
      <c r="F12" s="69">
        <f>F13+F22</f>
        <v>283941715160</v>
      </c>
    </row>
    <row r="13" spans="1:6" s="1" customFormat="1" ht="28.5">
      <c r="A13" s="9" t="s">
        <v>4</v>
      </c>
      <c r="B13" s="47" t="s">
        <v>120</v>
      </c>
      <c r="C13" s="15"/>
      <c r="D13" s="16">
        <f>D14+D17+D21</f>
        <v>296195705000</v>
      </c>
      <c r="E13" s="11"/>
      <c r="F13" s="16">
        <f>F14+F17+F21</f>
        <v>276906830160</v>
      </c>
    </row>
    <row r="14" spans="1:6" s="1" customFormat="1" ht="15">
      <c r="A14" s="17">
        <v>1</v>
      </c>
      <c r="B14" s="48" t="s">
        <v>3</v>
      </c>
      <c r="C14" s="19"/>
      <c r="D14" s="16">
        <f>D15+D16</f>
        <v>46379780000</v>
      </c>
      <c r="E14" s="11"/>
      <c r="F14" s="16">
        <f>F15+F16</f>
        <v>50870265160</v>
      </c>
    </row>
    <row r="15" spans="1:6" s="1" customFormat="1" ht="21" customHeight="1">
      <c r="A15" s="12" t="s">
        <v>119</v>
      </c>
      <c r="B15" s="49" t="s">
        <v>217</v>
      </c>
      <c r="C15" s="20"/>
      <c r="D15" s="21">
        <f>40639000000+180780000</f>
        <v>40819780000</v>
      </c>
      <c r="E15" s="11"/>
      <c r="F15" s="68">
        <v>45757211182</v>
      </c>
    </row>
    <row r="16" spans="1:6" s="1" customFormat="1" ht="21" customHeight="1">
      <c r="A16" s="12" t="s">
        <v>122</v>
      </c>
      <c r="B16" s="49" t="s">
        <v>218</v>
      </c>
      <c r="C16" s="20"/>
      <c r="D16" s="21">
        <v>5560000000</v>
      </c>
      <c r="E16" s="11"/>
      <c r="F16" s="68">
        <v>5113053978</v>
      </c>
    </row>
    <row r="17" spans="1:8" s="1" customFormat="1" ht="15">
      <c r="A17" s="17">
        <v>2</v>
      </c>
      <c r="B17" s="48" t="s">
        <v>83</v>
      </c>
      <c r="C17" s="20"/>
      <c r="D17" s="16">
        <f>D18+D19+D20</f>
        <v>234315925000</v>
      </c>
      <c r="E17" s="11"/>
      <c r="F17" s="16">
        <f>F18+F19+F20</f>
        <v>211146015000</v>
      </c>
      <c r="G17" s="63"/>
      <c r="H17" s="63"/>
    </row>
    <row r="18" spans="1:7" s="1" customFormat="1" ht="30">
      <c r="A18" s="12" t="s">
        <v>123</v>
      </c>
      <c r="B18" s="50" t="s">
        <v>216</v>
      </c>
      <c r="C18" s="20"/>
      <c r="D18" s="21">
        <v>73348000000</v>
      </c>
      <c r="E18" s="11"/>
      <c r="F18" s="68">
        <v>62499730000</v>
      </c>
      <c r="G18" s="62"/>
    </row>
    <row r="19" spans="1:7" s="1" customFormat="1" ht="18.75" customHeight="1">
      <c r="A19" s="12" t="s">
        <v>124</v>
      </c>
      <c r="B19" s="50" t="s">
        <v>150</v>
      </c>
      <c r="C19" s="20"/>
      <c r="D19" s="21">
        <f>9870000000+987000000</f>
        <v>10857000000</v>
      </c>
      <c r="E19" s="11"/>
      <c r="F19" s="68">
        <v>16440222000</v>
      </c>
      <c r="G19" s="62"/>
    </row>
    <row r="20" spans="1:7" s="1" customFormat="1" ht="30">
      <c r="A20" s="12" t="s">
        <v>125</v>
      </c>
      <c r="B20" s="50" t="s">
        <v>151</v>
      </c>
      <c r="C20" s="19"/>
      <c r="D20" s="21">
        <v>150110925000</v>
      </c>
      <c r="E20" s="20"/>
      <c r="F20" s="68">
        <v>132206063000</v>
      </c>
      <c r="G20" s="62"/>
    </row>
    <row r="21" spans="1:7" s="1" customFormat="1" ht="15">
      <c r="A21" s="17">
        <v>3</v>
      </c>
      <c r="B21" s="48" t="s">
        <v>84</v>
      </c>
      <c r="C21" s="20"/>
      <c r="D21" s="16">
        <v>15500000000</v>
      </c>
      <c r="E21" s="20"/>
      <c r="F21" s="75">
        <v>14890550000</v>
      </c>
      <c r="G21" s="62"/>
    </row>
    <row r="22" spans="1:7" s="1" customFormat="1" ht="28.5">
      <c r="A22" s="9" t="s">
        <v>5</v>
      </c>
      <c r="B22" s="47" t="s">
        <v>121</v>
      </c>
      <c r="C22" s="20"/>
      <c r="D22" s="16">
        <f>D23+D24+D25+D26</f>
        <v>10475000000</v>
      </c>
      <c r="E22" s="11"/>
      <c r="F22" s="16">
        <f>F23+F24+F25+F26</f>
        <v>7034885000</v>
      </c>
      <c r="G22" s="63">
        <f>SUM(G20:G21)</f>
        <v>0</v>
      </c>
    </row>
    <row r="23" spans="1:7" s="1" customFormat="1" ht="21" customHeight="1">
      <c r="A23" s="12">
        <v>1</v>
      </c>
      <c r="B23" s="49" t="s">
        <v>217</v>
      </c>
      <c r="C23" s="20"/>
      <c r="D23" s="21">
        <v>10200000000</v>
      </c>
      <c r="E23" s="11"/>
      <c r="F23" s="68">
        <v>7004885000</v>
      </c>
      <c r="G23" s="1" t="s">
        <v>222</v>
      </c>
    </row>
    <row r="24" spans="1:6" s="1" customFormat="1" ht="30">
      <c r="A24" s="12">
        <v>2</v>
      </c>
      <c r="B24" s="50" t="s">
        <v>219</v>
      </c>
      <c r="C24" s="20"/>
      <c r="D24" s="21">
        <v>75000000</v>
      </c>
      <c r="E24" s="11"/>
      <c r="F24" s="68">
        <v>30000000</v>
      </c>
    </row>
    <row r="25" spans="1:6" s="1" customFormat="1" ht="21" customHeight="1">
      <c r="A25" s="12">
        <v>3</v>
      </c>
      <c r="B25" s="49" t="s">
        <v>220</v>
      </c>
      <c r="C25" s="20"/>
      <c r="D25" s="21">
        <v>0</v>
      </c>
      <c r="E25" s="11"/>
      <c r="F25" s="68"/>
    </row>
    <row r="26" spans="1:6" s="1" customFormat="1" ht="45">
      <c r="A26" s="12">
        <v>4</v>
      </c>
      <c r="B26" s="50" t="s">
        <v>221</v>
      </c>
      <c r="C26" s="20"/>
      <c r="D26" s="21">
        <v>200000000</v>
      </c>
      <c r="E26" s="11"/>
      <c r="F26" s="68"/>
    </row>
    <row r="27" spans="1:6" s="1" customFormat="1" ht="15">
      <c r="A27" s="12" t="s">
        <v>227</v>
      </c>
      <c r="B27" s="50" t="s">
        <v>228</v>
      </c>
      <c r="C27" s="20"/>
      <c r="D27" s="21">
        <v>16885021734</v>
      </c>
      <c r="E27" s="11"/>
      <c r="F27" s="68">
        <v>2411313040</v>
      </c>
    </row>
    <row r="28" spans="1:6" s="1" customFormat="1" ht="18.75" customHeight="1">
      <c r="A28" s="70"/>
      <c r="B28" s="71" t="s">
        <v>152</v>
      </c>
      <c r="C28" s="72"/>
      <c r="D28" s="73">
        <f>D13+D22+D27</f>
        <v>323555726734</v>
      </c>
      <c r="E28" s="11"/>
      <c r="F28" s="74">
        <f>F13+F22+F27</f>
        <v>286353028200</v>
      </c>
    </row>
    <row r="29" spans="1:6" s="1" customFormat="1" ht="20.25" customHeight="1">
      <c r="A29" s="70"/>
      <c r="B29" s="71" t="s">
        <v>153</v>
      </c>
      <c r="C29" s="72"/>
      <c r="D29" s="73">
        <f>C11+D28</f>
        <v>346428728960</v>
      </c>
      <c r="E29" s="11"/>
      <c r="F29" s="74">
        <f>F11+F12</f>
        <v>304989992988</v>
      </c>
    </row>
    <row r="30" spans="1:6" s="1" customFormat="1" ht="14.25">
      <c r="A30" s="23"/>
      <c r="B30" s="52"/>
      <c r="C30" s="25"/>
      <c r="D30" s="53"/>
      <c r="E30" s="39"/>
      <c r="F30" s="39"/>
    </row>
    <row r="31" spans="1:4" s="1" customFormat="1" ht="12.75">
      <c r="A31" s="88" t="s">
        <v>214</v>
      </c>
      <c r="B31" s="24"/>
      <c r="C31" s="25"/>
      <c r="D31" s="26"/>
    </row>
    <row r="32" spans="1:6" s="1" customFormat="1" ht="14.25">
      <c r="A32" s="9">
        <v>1</v>
      </c>
      <c r="B32" s="47" t="s">
        <v>215</v>
      </c>
      <c r="C32" s="15"/>
      <c r="D32" s="16">
        <v>72000000000</v>
      </c>
      <c r="E32" s="89"/>
      <c r="F32" s="75">
        <v>29000000000</v>
      </c>
    </row>
    <row r="34" spans="1:11" s="1" customFormat="1" ht="12.75">
      <c r="A34" s="40" t="s">
        <v>224</v>
      </c>
      <c r="B34" s="40"/>
      <c r="C34" s="41"/>
      <c r="D34" s="41"/>
      <c r="E34" s="41"/>
      <c r="F34" s="92">
        <f>F36+F37</f>
        <v>22363030000</v>
      </c>
      <c r="G34" s="41"/>
      <c r="H34" s="41"/>
      <c r="I34" s="42"/>
      <c r="J34" s="42"/>
      <c r="K34" s="62"/>
    </row>
    <row r="35" spans="1:11" s="1" customFormat="1" ht="13.5">
      <c r="A35" s="91" t="s">
        <v>223</v>
      </c>
      <c r="B35" s="40"/>
      <c r="C35" s="41"/>
      <c r="D35" s="41"/>
      <c r="E35" s="41"/>
      <c r="F35" s="42"/>
      <c r="G35" s="41"/>
      <c r="H35" s="41"/>
      <c r="I35" s="42"/>
      <c r="J35" s="42"/>
      <c r="K35" s="62"/>
    </row>
    <row r="36" spans="1:11" s="1" customFormat="1" ht="12.75">
      <c r="A36" s="39"/>
      <c r="B36" s="39" t="s">
        <v>225</v>
      </c>
      <c r="C36" s="41"/>
      <c r="D36" s="41"/>
      <c r="E36" s="41"/>
      <c r="F36" s="44">
        <f>306671000000*5/100</f>
        <v>15333550000</v>
      </c>
      <c r="G36" s="41"/>
      <c r="H36" s="41"/>
      <c r="J36" s="44"/>
      <c r="K36" s="62"/>
    </row>
    <row r="37" spans="1:11" s="1" customFormat="1" ht="12.75">
      <c r="A37" s="39"/>
      <c r="B37" s="39" t="s">
        <v>226</v>
      </c>
      <c r="C37" s="41"/>
      <c r="D37" s="41"/>
      <c r="E37" s="41"/>
      <c r="F37" s="44">
        <f>234316000000*3/100</f>
        <v>7029480000</v>
      </c>
      <c r="G37" s="41"/>
      <c r="H37" s="41"/>
      <c r="J37" s="44"/>
      <c r="K37" s="62"/>
    </row>
    <row r="38" s="90" customFormat="1" ht="12.75"/>
    <row r="39" s="90" customFormat="1" ht="12.75"/>
    <row r="40" s="90" customFormat="1" ht="12.75"/>
    <row r="41" s="90" customFormat="1" ht="12.75"/>
    <row r="42" s="90" customFormat="1" ht="12.75"/>
    <row r="43" s="90" customFormat="1" ht="12.75"/>
    <row r="44" s="90" customFormat="1" ht="12.75"/>
    <row r="45" s="90" customFormat="1" ht="12.75"/>
    <row r="46" s="90" customFormat="1" ht="12.75"/>
    <row r="47" s="90" customFormat="1" ht="12.75"/>
    <row r="48" s="90" customFormat="1" ht="12.75"/>
    <row r="49" s="90" customFormat="1" ht="12.75"/>
    <row r="50" s="90" customFormat="1" ht="12.75"/>
  </sheetData>
  <mergeCells count="3">
    <mergeCell ref="C9:D10"/>
    <mergeCell ref="E9:F10"/>
    <mergeCell ref="C11:D11"/>
  </mergeCells>
  <printOptions/>
  <pageMargins left="0.7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tabSelected="1" workbookViewId="0" topLeftCell="A154">
      <selection activeCell="H173" sqref="H173"/>
    </sheetView>
  </sheetViews>
  <sheetFormatPr defaultColWidth="9.140625" defaultRowHeight="12.75"/>
  <cols>
    <col min="1" max="1" width="5.7109375" style="1" customWidth="1"/>
    <col min="2" max="2" width="32.28125" style="1" customWidth="1"/>
    <col min="3" max="3" width="17.7109375" style="1" hidden="1" customWidth="1"/>
    <col min="4" max="4" width="14.00390625" style="1" hidden="1" customWidth="1"/>
    <col min="5" max="5" width="13.8515625" style="1" hidden="1" customWidth="1"/>
    <col min="6" max="6" width="14.28125" style="1" hidden="1" customWidth="1"/>
    <col min="7" max="7" width="12.8515625" style="1" customWidth="1"/>
    <col min="8" max="8" width="14.00390625" style="1" customWidth="1"/>
    <col min="9" max="9" width="13.57421875" style="1" customWidth="1"/>
    <col min="10" max="10" width="14.28125" style="1" customWidth="1"/>
    <col min="11" max="11" width="13.140625" style="1" customWidth="1"/>
    <col min="12" max="12" width="14.28125" style="62" bestFit="1" customWidth="1"/>
    <col min="13" max="13" width="12.8515625" style="1" bestFit="1" customWidth="1"/>
    <col min="14" max="16384" width="9.140625" style="1" customWidth="1"/>
  </cols>
  <sheetData>
    <row r="1" ht="12.75">
      <c r="A1" s="51" t="s">
        <v>173</v>
      </c>
    </row>
    <row r="2" spans="1:7" ht="12.75">
      <c r="A2" s="14"/>
      <c r="C2" s="27"/>
      <c r="G2" s="27"/>
    </row>
    <row r="3" spans="1:11" ht="12.75">
      <c r="A3" s="4"/>
      <c r="B3" s="4"/>
      <c r="C3" s="5" t="s">
        <v>165</v>
      </c>
      <c r="D3" s="28"/>
      <c r="E3" s="29"/>
      <c r="F3" s="6"/>
      <c r="G3" s="5" t="s">
        <v>199</v>
      </c>
      <c r="H3" s="28"/>
      <c r="I3" s="29"/>
      <c r="J3" s="6"/>
      <c r="K3" s="76"/>
    </row>
    <row r="4" spans="1:11" ht="12.75">
      <c r="A4" s="30" t="s">
        <v>2</v>
      </c>
      <c r="B4" s="30" t="s">
        <v>6</v>
      </c>
      <c r="C4" s="31" t="s">
        <v>77</v>
      </c>
      <c r="D4" s="4"/>
      <c r="E4" s="4" t="s">
        <v>78</v>
      </c>
      <c r="F4" s="4"/>
      <c r="G4" s="31" t="s">
        <v>77</v>
      </c>
      <c r="H4" s="4"/>
      <c r="I4" s="4" t="s">
        <v>78</v>
      </c>
      <c r="J4" s="4"/>
      <c r="K4" s="30"/>
    </row>
    <row r="5" spans="1:12" ht="12.75">
      <c r="A5" s="30" t="s">
        <v>82</v>
      </c>
      <c r="B5" s="30"/>
      <c r="C5" s="32"/>
      <c r="D5" s="8"/>
      <c r="E5" s="30" t="s">
        <v>76</v>
      </c>
      <c r="F5" s="30" t="s">
        <v>75</v>
      </c>
      <c r="G5" s="32"/>
      <c r="H5" s="8"/>
      <c r="I5" s="30" t="s">
        <v>76</v>
      </c>
      <c r="J5" s="30" t="s">
        <v>184</v>
      </c>
      <c r="K5" s="30" t="s">
        <v>183</v>
      </c>
      <c r="L5" s="62">
        <v>184749511461</v>
      </c>
    </row>
    <row r="6" spans="1:11" ht="12.75">
      <c r="A6" s="7"/>
      <c r="B6" s="7"/>
      <c r="C6" s="7" t="s">
        <v>72</v>
      </c>
      <c r="D6" s="7" t="s">
        <v>73</v>
      </c>
      <c r="E6" s="7" t="s">
        <v>74</v>
      </c>
      <c r="F6" s="33"/>
      <c r="G6" s="7" t="s">
        <v>72</v>
      </c>
      <c r="H6" s="7" t="s">
        <v>73</v>
      </c>
      <c r="I6" s="7" t="s">
        <v>74</v>
      </c>
      <c r="J6" s="7" t="s">
        <v>200</v>
      </c>
      <c r="K6" s="7" t="s">
        <v>191</v>
      </c>
    </row>
    <row r="7" spans="1:12" ht="13.5">
      <c r="A7" s="9" t="s">
        <v>4</v>
      </c>
      <c r="B7" s="18" t="s">
        <v>9</v>
      </c>
      <c r="C7" s="34">
        <f>C8+C47+C117+C134</f>
        <v>35573800000</v>
      </c>
      <c r="D7" s="34">
        <f>D8+D47+D117+D134</f>
        <v>105659626250</v>
      </c>
      <c r="E7" s="34">
        <f>E9+E12+E14+E24+E27+E32+E39+E44+E48+E54+E59+E75+E85+E91+E98+E99+E100+E118+E126+E127+E128+E135</f>
        <v>1620000000</v>
      </c>
      <c r="F7" s="34">
        <f>SUM(C7:E7)</f>
        <v>142853426250</v>
      </c>
      <c r="G7" s="65">
        <f>G8+G47+G117+G134</f>
        <v>45810000000</v>
      </c>
      <c r="H7" s="34">
        <f>H8+H47+H117+H134</f>
        <v>148381243464.4</v>
      </c>
      <c r="I7" s="34">
        <f>I9+I12+I14+I24+I27+I32+I39+I44+I48+I54+I59+I75+I85+I91+I98+I99+I100+I118+I126+I127+I128+I135</f>
        <v>10025000000</v>
      </c>
      <c r="J7" s="34">
        <f>SUM(G7:I7)</f>
        <v>204216243464.4</v>
      </c>
      <c r="K7" s="83">
        <f>K8+K47+K117+K134</f>
        <v>187327198276.2</v>
      </c>
      <c r="L7" s="62">
        <f>L5-K7</f>
        <v>-2577686815.200012</v>
      </c>
    </row>
    <row r="8" spans="1:11" ht="12.75">
      <c r="A8" s="9" t="s">
        <v>7</v>
      </c>
      <c r="B8" s="35" t="s">
        <v>8</v>
      </c>
      <c r="C8" s="34">
        <f aca="true" t="shared" si="0" ref="C8:K8">C9+C12+C14+C24+C27+C32+C39+C44</f>
        <v>21120444000</v>
      </c>
      <c r="D8" s="34">
        <f t="shared" si="0"/>
        <v>32008436250</v>
      </c>
      <c r="E8" s="34">
        <f t="shared" si="0"/>
        <v>0</v>
      </c>
      <c r="F8" s="34">
        <f t="shared" si="0"/>
        <v>53128880250</v>
      </c>
      <c r="G8" s="65">
        <f t="shared" si="0"/>
        <v>40250000000</v>
      </c>
      <c r="H8" s="34">
        <f t="shared" si="0"/>
        <v>48999301000</v>
      </c>
      <c r="I8" s="34">
        <f t="shared" si="0"/>
        <v>0</v>
      </c>
      <c r="J8" s="34">
        <f t="shared" si="0"/>
        <v>89249301000</v>
      </c>
      <c r="K8" s="65">
        <f t="shared" si="0"/>
        <v>74438339526.2</v>
      </c>
    </row>
    <row r="9" spans="1:11" ht="12.75">
      <c r="A9" s="9">
        <v>6000</v>
      </c>
      <c r="B9" s="10" t="s">
        <v>10</v>
      </c>
      <c r="C9" s="34">
        <f>SUM(C10:C11)</f>
        <v>11493800000</v>
      </c>
      <c r="D9" s="34">
        <f>SUM(D10:D11)</f>
        <v>5897833000</v>
      </c>
      <c r="E9" s="34">
        <f>SUM(E10:E11)</f>
        <v>0</v>
      </c>
      <c r="F9" s="34">
        <f>SUM(C9:E9)</f>
        <v>17391633000</v>
      </c>
      <c r="G9" s="65">
        <f>SUM(G10:G11)</f>
        <v>16086420000</v>
      </c>
      <c r="H9" s="34">
        <f>SUM(H10:H11)</f>
        <v>11043201000</v>
      </c>
      <c r="I9" s="34">
        <f>SUM(I10:I11)</f>
        <v>0</v>
      </c>
      <c r="J9" s="34">
        <f aca="true" t="shared" si="1" ref="J9:J14">SUM(G9:I9)</f>
        <v>27129621000</v>
      </c>
      <c r="K9" s="65">
        <f>K10+K11</f>
        <v>22608017856</v>
      </c>
    </row>
    <row r="10" spans="1:13" ht="12.75">
      <c r="A10" s="12">
        <v>6001</v>
      </c>
      <c r="B10" s="13" t="s">
        <v>11</v>
      </c>
      <c r="C10" s="36">
        <f>9700000000+1793800000</f>
        <v>11493800000</v>
      </c>
      <c r="D10" s="36">
        <v>5897833000</v>
      </c>
      <c r="E10" s="36"/>
      <c r="F10" s="36">
        <f>SUM(C10:E10)</f>
        <v>17391633000</v>
      </c>
      <c r="G10" s="36">
        <f>27129621000-11043201000</f>
        <v>16086420000</v>
      </c>
      <c r="H10" s="36">
        <v>11043201000</v>
      </c>
      <c r="I10" s="36"/>
      <c r="J10" s="36">
        <f t="shared" si="1"/>
        <v>27129621000</v>
      </c>
      <c r="K10" s="36">
        <f>22508017856+100000000</f>
        <v>22608017856</v>
      </c>
      <c r="L10" s="62">
        <f>K10*1.2</f>
        <v>27129621427.2</v>
      </c>
      <c r="M10" s="63"/>
    </row>
    <row r="11" spans="1:11" ht="12.75">
      <c r="A11" s="12">
        <v>6002</v>
      </c>
      <c r="B11" s="13" t="s">
        <v>86</v>
      </c>
      <c r="C11" s="36"/>
      <c r="D11" s="36"/>
      <c r="E11" s="36"/>
      <c r="F11" s="36">
        <f>SUM(C11:E11)</f>
        <v>0</v>
      </c>
      <c r="G11" s="36"/>
      <c r="H11" s="36"/>
      <c r="I11" s="36"/>
      <c r="J11" s="36">
        <f t="shared" si="1"/>
        <v>0</v>
      </c>
      <c r="K11" s="36"/>
    </row>
    <row r="12" spans="1:11" ht="12.75">
      <c r="A12" s="9">
        <v>6050</v>
      </c>
      <c r="B12" s="10" t="s">
        <v>12</v>
      </c>
      <c r="C12" s="34">
        <f>SUM(C13:C13)</f>
        <v>850000000</v>
      </c>
      <c r="D12" s="34">
        <f>SUM(D13:D13)</f>
        <v>963683000</v>
      </c>
      <c r="E12" s="34">
        <f>SUM(E13:E13)</f>
        <v>0</v>
      </c>
      <c r="F12" s="34">
        <f>SUM(C12:E12)</f>
        <v>1813683000</v>
      </c>
      <c r="G12" s="34">
        <f>SUM(G13:G13)</f>
        <v>3184448000</v>
      </c>
      <c r="H12" s="34">
        <f>SUM(H13:H13)</f>
        <v>0</v>
      </c>
      <c r="I12" s="34">
        <f>SUM(I13:I13)</f>
        <v>0</v>
      </c>
      <c r="J12" s="34">
        <f t="shared" si="1"/>
        <v>3184448000</v>
      </c>
      <c r="K12" s="34">
        <f>K13</f>
        <v>2653706800</v>
      </c>
    </row>
    <row r="13" spans="1:13" ht="38.25">
      <c r="A13" s="12">
        <v>6051</v>
      </c>
      <c r="B13" s="22" t="s">
        <v>87</v>
      </c>
      <c r="C13" s="36">
        <v>850000000</v>
      </c>
      <c r="D13" s="36">
        <f>803683000+160000000</f>
        <v>963683000</v>
      </c>
      <c r="E13" s="36"/>
      <c r="F13" s="36">
        <f aca="true" t="shared" si="2" ref="F13:F26">SUM(C13:E13)</f>
        <v>1813683000</v>
      </c>
      <c r="G13" s="36">
        <v>3184448000</v>
      </c>
      <c r="H13" s="36"/>
      <c r="I13" s="36"/>
      <c r="J13" s="36">
        <f t="shared" si="1"/>
        <v>3184448000</v>
      </c>
      <c r="K13" s="36">
        <f>2553706800+100000000</f>
        <v>2653706800</v>
      </c>
      <c r="L13" s="62">
        <f>K13*1.2</f>
        <v>3184448160</v>
      </c>
      <c r="M13" s="63"/>
    </row>
    <row r="14" spans="1:13" ht="12.75">
      <c r="A14" s="9">
        <v>6100</v>
      </c>
      <c r="B14" s="10" t="s">
        <v>13</v>
      </c>
      <c r="C14" s="34">
        <f>SUM(C15:C23)</f>
        <v>5387000000</v>
      </c>
      <c r="D14" s="34">
        <f>SUM(D15:D23)</f>
        <v>3134200000</v>
      </c>
      <c r="E14" s="34">
        <f>SUM(E15:E23)</f>
        <v>0</v>
      </c>
      <c r="F14" s="34">
        <f>SUM(C14:E14)</f>
        <v>8521200000</v>
      </c>
      <c r="G14" s="65">
        <f>SUM(G15:G23)</f>
        <v>13235885000</v>
      </c>
      <c r="H14" s="34">
        <f>SUM(H15:H23)</f>
        <v>0</v>
      </c>
      <c r="I14" s="34">
        <f>SUM(I15:I23)</f>
        <v>0</v>
      </c>
      <c r="J14" s="34">
        <f t="shared" si="1"/>
        <v>13235885000</v>
      </c>
      <c r="K14" s="34">
        <f>SUM(K15:K23)</f>
        <v>11129085532.2</v>
      </c>
      <c r="M14" s="63"/>
    </row>
    <row r="15" spans="1:13" ht="12.75">
      <c r="A15" s="12">
        <v>6101</v>
      </c>
      <c r="B15" s="13" t="s">
        <v>88</v>
      </c>
      <c r="C15" s="36">
        <v>300000000</v>
      </c>
      <c r="D15" s="36">
        <f>210000000+42000000</f>
        <v>252000000</v>
      </c>
      <c r="E15" s="36"/>
      <c r="F15" s="36">
        <f t="shared" si="2"/>
        <v>552000000</v>
      </c>
      <c r="G15" s="36">
        <v>863000000</v>
      </c>
      <c r="H15" s="36"/>
      <c r="I15" s="36"/>
      <c r="J15" s="36">
        <f aca="true" t="shared" si="3" ref="J15:J26">SUM(G15:I15)</f>
        <v>863000000</v>
      </c>
      <c r="K15" s="36">
        <v>719118000</v>
      </c>
      <c r="L15" s="62">
        <f aca="true" t="shared" si="4" ref="L15:L23">K15*1.2</f>
        <v>862941600</v>
      </c>
      <c r="M15" s="63"/>
    </row>
    <row r="16" spans="1:13" ht="12.75">
      <c r="A16" s="12">
        <v>6106</v>
      </c>
      <c r="B16" s="13" t="s">
        <v>89</v>
      </c>
      <c r="C16" s="36">
        <v>85000000</v>
      </c>
      <c r="D16" s="36"/>
      <c r="E16" s="36"/>
      <c r="F16" s="36">
        <f t="shared" si="2"/>
        <v>85000000</v>
      </c>
      <c r="G16" s="36">
        <v>104000000</v>
      </c>
      <c r="H16" s="36"/>
      <c r="I16" s="36"/>
      <c r="J16" s="36">
        <f t="shared" si="3"/>
        <v>104000000</v>
      </c>
      <c r="K16" s="36">
        <f>71829716*1.2</f>
        <v>86195659.2</v>
      </c>
      <c r="L16" s="62">
        <f t="shared" si="4"/>
        <v>103434791.04</v>
      </c>
      <c r="M16" s="63"/>
    </row>
    <row r="17" spans="1:13" ht="12.75">
      <c r="A17" s="12">
        <v>6107</v>
      </c>
      <c r="B17" s="13" t="s">
        <v>90</v>
      </c>
      <c r="C17" s="36">
        <v>120000000</v>
      </c>
      <c r="D17" s="36">
        <f>42000000+8200000</f>
        <v>50200000</v>
      </c>
      <c r="E17" s="36"/>
      <c r="F17" s="36">
        <f t="shared" si="2"/>
        <v>170200000</v>
      </c>
      <c r="G17" s="36">
        <v>971000000</v>
      </c>
      <c r="H17" s="36"/>
      <c r="I17" s="36"/>
      <c r="J17" s="36">
        <f t="shared" si="3"/>
        <v>971000000</v>
      </c>
      <c r="K17" s="36">
        <v>809535825</v>
      </c>
      <c r="L17" s="62">
        <f t="shared" si="4"/>
        <v>971442990</v>
      </c>
      <c r="M17" s="63"/>
    </row>
    <row r="18" spans="1:13" ht="12.75">
      <c r="A18" s="12">
        <v>6112</v>
      </c>
      <c r="B18" s="13" t="s">
        <v>128</v>
      </c>
      <c r="C18" s="36">
        <v>2630000000</v>
      </c>
      <c r="D18" s="36">
        <f>1450000000+290000000</f>
        <v>1740000000</v>
      </c>
      <c r="E18" s="36"/>
      <c r="F18" s="36">
        <f t="shared" si="2"/>
        <v>4370000000</v>
      </c>
      <c r="G18" s="36">
        <v>6813178000</v>
      </c>
      <c r="H18" s="36"/>
      <c r="I18" s="36"/>
      <c r="J18" s="36">
        <f t="shared" si="3"/>
        <v>6813178000</v>
      </c>
      <c r="K18" s="36">
        <f>5577648714+100000000</f>
        <v>5677648714</v>
      </c>
      <c r="L18" s="62">
        <f t="shared" si="4"/>
        <v>6813178456.8</v>
      </c>
      <c r="M18" s="63"/>
    </row>
    <row r="19" spans="1:13" ht="12.75">
      <c r="A19" s="12">
        <v>6113</v>
      </c>
      <c r="B19" s="13" t="s">
        <v>210</v>
      </c>
      <c r="C19" s="36"/>
      <c r="D19" s="36"/>
      <c r="E19" s="36"/>
      <c r="F19" s="36"/>
      <c r="G19" s="36">
        <v>595980000</v>
      </c>
      <c r="H19" s="36"/>
      <c r="I19" s="36"/>
      <c r="J19" s="36">
        <f t="shared" si="3"/>
        <v>595980000</v>
      </c>
      <c r="K19" s="36">
        <v>595980000</v>
      </c>
      <c r="L19" s="62">
        <f t="shared" si="4"/>
        <v>715176000</v>
      </c>
      <c r="M19" s="63"/>
    </row>
    <row r="20" spans="1:13" ht="12.75">
      <c r="A20" s="12">
        <v>6115</v>
      </c>
      <c r="B20" s="13" t="s">
        <v>170</v>
      </c>
      <c r="C20" s="36"/>
      <c r="D20" s="36"/>
      <c r="E20" s="36"/>
      <c r="F20" s="36"/>
      <c r="G20" s="36">
        <v>2367967000</v>
      </c>
      <c r="H20" s="36"/>
      <c r="I20" s="36"/>
      <c r="J20" s="36">
        <f t="shared" si="3"/>
        <v>2367967000</v>
      </c>
      <c r="K20" s="36">
        <f>1873306254+100000000</f>
        <v>1973306254</v>
      </c>
      <c r="L20" s="62">
        <f t="shared" si="4"/>
        <v>2367967504.7999997</v>
      </c>
      <c r="M20" s="63"/>
    </row>
    <row r="21" spans="1:13" ht="12.75">
      <c r="A21" s="12">
        <v>6117</v>
      </c>
      <c r="B21" s="13" t="s">
        <v>171</v>
      </c>
      <c r="C21" s="36">
        <v>2220000000</v>
      </c>
      <c r="D21" s="36"/>
      <c r="E21" s="36"/>
      <c r="F21" s="36">
        <f t="shared" si="2"/>
        <v>2220000000</v>
      </c>
      <c r="G21" s="36">
        <v>438907000</v>
      </c>
      <c r="H21" s="36"/>
      <c r="I21" s="36"/>
      <c r="J21" s="36">
        <f t="shared" si="3"/>
        <v>438907000</v>
      </c>
      <c r="K21" s="36">
        <v>365756580</v>
      </c>
      <c r="L21" s="62">
        <f t="shared" si="4"/>
        <v>438907896</v>
      </c>
      <c r="M21" s="63"/>
    </row>
    <row r="22" spans="1:13" ht="12.75">
      <c r="A22" s="12">
        <v>6118</v>
      </c>
      <c r="B22" s="13" t="s">
        <v>91</v>
      </c>
      <c r="C22" s="36"/>
      <c r="D22" s="36"/>
      <c r="E22" s="36"/>
      <c r="F22" s="36">
        <f t="shared" si="2"/>
        <v>0</v>
      </c>
      <c r="G22" s="36">
        <v>433152000</v>
      </c>
      <c r="H22" s="36"/>
      <c r="I22" s="36"/>
      <c r="J22" s="36">
        <f t="shared" si="3"/>
        <v>433152000</v>
      </c>
      <c r="K22" s="36">
        <v>360960000</v>
      </c>
      <c r="L22" s="62">
        <f t="shared" si="4"/>
        <v>433152000</v>
      </c>
      <c r="M22" s="63"/>
    </row>
    <row r="23" spans="1:13" ht="12.75">
      <c r="A23" s="12">
        <v>6149</v>
      </c>
      <c r="B23" s="13" t="s">
        <v>117</v>
      </c>
      <c r="C23" s="36">
        <v>32000000</v>
      </c>
      <c r="D23" s="36">
        <f>910000000+182000000</f>
        <v>1092000000</v>
      </c>
      <c r="E23" s="36"/>
      <c r="F23" s="36">
        <f t="shared" si="2"/>
        <v>1124000000</v>
      </c>
      <c r="G23" s="36">
        <v>648701000</v>
      </c>
      <c r="H23" s="36"/>
      <c r="I23" s="36"/>
      <c r="J23" s="36">
        <f t="shared" si="3"/>
        <v>648701000</v>
      </c>
      <c r="K23" s="36">
        <v>540584500</v>
      </c>
      <c r="L23" s="62">
        <f t="shared" si="4"/>
        <v>648701400</v>
      </c>
      <c r="M23" s="63"/>
    </row>
    <row r="24" spans="1:13" ht="12.75">
      <c r="A24" s="9">
        <v>6150</v>
      </c>
      <c r="B24" s="10" t="s">
        <v>14</v>
      </c>
      <c r="C24" s="34">
        <f>SUM(C25:C26)</f>
        <v>1410000000</v>
      </c>
      <c r="D24" s="34">
        <f>SUM(D25:D26)</f>
        <v>1300000000</v>
      </c>
      <c r="E24" s="34">
        <f>SUM(E25:E26)</f>
        <v>0</v>
      </c>
      <c r="F24" s="34">
        <f>SUM(C24:E24)</f>
        <v>2710000000</v>
      </c>
      <c r="G24" s="34">
        <f>SUM(G25:G26)</f>
        <v>0</v>
      </c>
      <c r="H24" s="34">
        <f>SUM(H25:H26)</f>
        <v>4052100000</v>
      </c>
      <c r="I24" s="34">
        <f>SUM(I25:I26)</f>
        <v>0</v>
      </c>
      <c r="J24" s="34">
        <f>J25+J26</f>
        <v>4052100000</v>
      </c>
      <c r="K24" s="34">
        <f>K25+K26</f>
        <v>3376750000</v>
      </c>
      <c r="M24" s="63"/>
    </row>
    <row r="25" spans="1:13" ht="25.5">
      <c r="A25" s="12">
        <v>6153</v>
      </c>
      <c r="B25" s="22" t="s">
        <v>164</v>
      </c>
      <c r="C25" s="36">
        <v>1410000000</v>
      </c>
      <c r="D25" s="36">
        <f>300000000+1000000000</f>
        <v>1300000000</v>
      </c>
      <c r="E25" s="36"/>
      <c r="F25" s="36">
        <f t="shared" si="2"/>
        <v>2710000000</v>
      </c>
      <c r="G25" s="36"/>
      <c r="H25" s="36">
        <v>4052100000</v>
      </c>
      <c r="I25" s="36"/>
      <c r="J25" s="36">
        <f t="shared" si="3"/>
        <v>4052100000</v>
      </c>
      <c r="K25" s="36">
        <v>3376750000</v>
      </c>
      <c r="L25" s="62">
        <f>K25*1.2</f>
        <v>4052100000</v>
      </c>
      <c r="M25" s="63"/>
    </row>
    <row r="26" spans="1:13" ht="12.75">
      <c r="A26" s="12">
        <v>6199</v>
      </c>
      <c r="B26" s="13" t="s">
        <v>30</v>
      </c>
      <c r="C26" s="36"/>
      <c r="D26" s="36"/>
      <c r="E26" s="36"/>
      <c r="F26" s="36">
        <f t="shared" si="2"/>
        <v>0</v>
      </c>
      <c r="G26" s="36"/>
      <c r="H26" s="36"/>
      <c r="I26" s="36"/>
      <c r="J26" s="36">
        <f t="shared" si="3"/>
        <v>0</v>
      </c>
      <c r="K26" s="84"/>
      <c r="L26" s="62">
        <f>K26*1.2</f>
        <v>0</v>
      </c>
      <c r="M26" s="63"/>
    </row>
    <row r="27" spans="1:13" ht="12.75">
      <c r="A27" s="9">
        <v>6200</v>
      </c>
      <c r="B27" s="10" t="s">
        <v>15</v>
      </c>
      <c r="C27" s="34">
        <f>SUM(C28:C31)</f>
        <v>0</v>
      </c>
      <c r="D27" s="34">
        <f>SUM(D28:D31)</f>
        <v>1520000000</v>
      </c>
      <c r="E27" s="34">
        <f>SUM(E28:E31)</f>
        <v>0</v>
      </c>
      <c r="F27" s="34">
        <f>SUM(C27:E27)</f>
        <v>1520000000</v>
      </c>
      <c r="G27" s="34">
        <f>SUM(G28:G31)</f>
        <v>0</v>
      </c>
      <c r="H27" s="34">
        <f>SUM(H28:H31)</f>
        <v>1494000000</v>
      </c>
      <c r="I27" s="34">
        <f>SUM(I28:I31)</f>
        <v>0</v>
      </c>
      <c r="J27" s="34">
        <f>SUM(G27:I27)</f>
        <v>1494000000</v>
      </c>
      <c r="K27" s="34">
        <f>SUM(K28:K31)</f>
        <v>1245000000</v>
      </c>
      <c r="M27" s="63"/>
    </row>
    <row r="28" spans="1:13" ht="12.75">
      <c r="A28" s="12">
        <v>6201</v>
      </c>
      <c r="B28" s="13" t="s">
        <v>92</v>
      </c>
      <c r="C28" s="36"/>
      <c r="D28" s="36">
        <v>1500000000</v>
      </c>
      <c r="E28" s="36"/>
      <c r="F28" s="36">
        <f>C28+D28+E28</f>
        <v>1500000000</v>
      </c>
      <c r="G28" s="36"/>
      <c r="H28" s="36">
        <v>1317720000</v>
      </c>
      <c r="I28" s="36"/>
      <c r="J28" s="36">
        <f>G28+H28+I28</f>
        <v>1317720000</v>
      </c>
      <c r="K28" s="36">
        <f>404000000+429400000+264700000</f>
        <v>1098100000</v>
      </c>
      <c r="L28" s="62">
        <f>K28*1.2</f>
        <v>1317720000</v>
      </c>
      <c r="M28" s="63"/>
    </row>
    <row r="29" spans="1:13" ht="12.75">
      <c r="A29" s="12">
        <v>6202</v>
      </c>
      <c r="B29" s="13" t="s">
        <v>93</v>
      </c>
      <c r="C29" s="36"/>
      <c r="D29" s="36"/>
      <c r="E29" s="36"/>
      <c r="F29" s="36">
        <f>C29+D29+E29</f>
        <v>0</v>
      </c>
      <c r="G29" s="36"/>
      <c r="H29" s="36"/>
      <c r="I29" s="36"/>
      <c r="J29" s="36">
        <f>G29+H29+I29</f>
        <v>0</v>
      </c>
      <c r="K29" s="84">
        <v>0</v>
      </c>
      <c r="M29" s="63"/>
    </row>
    <row r="30" spans="1:13" ht="25.5">
      <c r="A30" s="12">
        <v>6203</v>
      </c>
      <c r="B30" s="22" t="s">
        <v>195</v>
      </c>
      <c r="C30" s="36"/>
      <c r="D30" s="36">
        <v>20000000</v>
      </c>
      <c r="E30" s="36"/>
      <c r="F30" s="36">
        <f>C30+D30+E30</f>
        <v>20000000</v>
      </c>
      <c r="G30" s="36"/>
      <c r="H30" s="36">
        <v>176280000</v>
      </c>
      <c r="I30" s="36"/>
      <c r="J30" s="36">
        <f>G30+H30+I30</f>
        <v>176280000</v>
      </c>
      <c r="K30" s="36">
        <v>146900000</v>
      </c>
      <c r="L30" s="62">
        <f>K30*1.2</f>
        <v>176280000</v>
      </c>
      <c r="M30" s="63"/>
    </row>
    <row r="31" spans="1:11" ht="12.75">
      <c r="A31" s="12">
        <v>6249</v>
      </c>
      <c r="B31" s="13" t="s">
        <v>30</v>
      </c>
      <c r="C31" s="36"/>
      <c r="D31" s="36"/>
      <c r="E31" s="36"/>
      <c r="F31" s="36">
        <f>C31+D31+E31</f>
        <v>0</v>
      </c>
      <c r="G31" s="36"/>
      <c r="H31" s="36"/>
      <c r="I31" s="36"/>
      <c r="J31" s="36">
        <f>G31+H31+I31</f>
        <v>0</v>
      </c>
      <c r="K31" s="84"/>
    </row>
    <row r="32" spans="1:11" ht="12.75">
      <c r="A32" s="9">
        <v>6250</v>
      </c>
      <c r="B32" s="10" t="s">
        <v>16</v>
      </c>
      <c r="C32" s="34">
        <f>SUM(C33:C38)</f>
        <v>0</v>
      </c>
      <c r="D32" s="34">
        <f>SUM(D33:D38)</f>
        <v>155000000</v>
      </c>
      <c r="E32" s="34">
        <f>SUM(E33:E38)</f>
        <v>0</v>
      </c>
      <c r="F32" s="34">
        <f>SUM(C32:E32)</f>
        <v>155000000</v>
      </c>
      <c r="G32" s="34">
        <f>SUM(G33:G38)</f>
        <v>0</v>
      </c>
      <c r="H32" s="34">
        <f>SUM(H33:H38)</f>
        <v>118000000</v>
      </c>
      <c r="I32" s="34">
        <f>SUM(I33:I38)</f>
        <v>0</v>
      </c>
      <c r="J32" s="34">
        <f>SUM(G32:I32)</f>
        <v>118000000</v>
      </c>
      <c r="K32" s="34">
        <f>SUM(K33:K38)</f>
        <v>62532000</v>
      </c>
    </row>
    <row r="33" spans="1:12" ht="12.75">
      <c r="A33" s="12">
        <v>6251</v>
      </c>
      <c r="B33" s="13" t="s">
        <v>94</v>
      </c>
      <c r="C33" s="36"/>
      <c r="D33" s="36"/>
      <c r="E33" s="36"/>
      <c r="F33" s="36">
        <f>SUM(C33:E33)</f>
        <v>0</v>
      </c>
      <c r="G33" s="36"/>
      <c r="H33" s="36"/>
      <c r="I33" s="36"/>
      <c r="J33" s="36">
        <f>SUM(G33:I33)</f>
        <v>0</v>
      </c>
      <c r="K33" s="84"/>
      <c r="L33" s="62">
        <f>K33*1.2</f>
        <v>0</v>
      </c>
    </row>
    <row r="34" spans="1:12" ht="12.75">
      <c r="A34" s="12">
        <v>6252</v>
      </c>
      <c r="B34" s="13" t="s">
        <v>71</v>
      </c>
      <c r="C34" s="13"/>
      <c r="D34" s="36">
        <v>30000000</v>
      </c>
      <c r="E34" s="36"/>
      <c r="F34" s="36">
        <f>SUM(D34:E34)</f>
        <v>30000000</v>
      </c>
      <c r="G34" s="13"/>
      <c r="H34" s="36"/>
      <c r="I34" s="36"/>
      <c r="J34" s="36">
        <f>SUM(H34:I34)</f>
        <v>0</v>
      </c>
      <c r="K34" s="84"/>
      <c r="L34" s="62">
        <f>K34*1.2</f>
        <v>0</v>
      </c>
    </row>
    <row r="35" spans="1:12" ht="12.75">
      <c r="A35" s="12">
        <v>6253</v>
      </c>
      <c r="B35" s="13" t="s">
        <v>95</v>
      </c>
      <c r="C35" s="13"/>
      <c r="D35" s="36">
        <v>50000000</v>
      </c>
      <c r="E35" s="36"/>
      <c r="F35" s="36">
        <f>SUM(D35:E35)</f>
        <v>50000000</v>
      </c>
      <c r="G35" s="13"/>
      <c r="H35" s="80"/>
      <c r="I35" s="36"/>
      <c r="J35" s="36">
        <f>SUM(H35:I35)</f>
        <v>0</v>
      </c>
      <c r="K35" s="36">
        <v>3350000</v>
      </c>
      <c r="L35" s="62">
        <f>K35*1.2</f>
        <v>4020000</v>
      </c>
    </row>
    <row r="36" spans="1:12" ht="12.75">
      <c r="A36" s="12">
        <v>6254</v>
      </c>
      <c r="B36" s="13" t="s">
        <v>96</v>
      </c>
      <c r="C36" s="13"/>
      <c r="D36" s="36">
        <v>25000000</v>
      </c>
      <c r="E36" s="36"/>
      <c r="F36" s="36">
        <f>SUM(D36:E36)</f>
        <v>25000000</v>
      </c>
      <c r="G36" s="13"/>
      <c r="H36" s="80">
        <v>45000000</v>
      </c>
      <c r="I36" s="36"/>
      <c r="J36" s="36">
        <f>SUM(H36:I36)</f>
        <v>45000000</v>
      </c>
      <c r="K36" s="36">
        <v>40000000</v>
      </c>
      <c r="L36" s="62">
        <f>K36*1.2</f>
        <v>48000000</v>
      </c>
    </row>
    <row r="37" spans="1:12" ht="12.75">
      <c r="A37" s="12">
        <v>6257</v>
      </c>
      <c r="B37" s="13" t="s">
        <v>97</v>
      </c>
      <c r="C37" s="13"/>
      <c r="D37" s="36">
        <v>20000000</v>
      </c>
      <c r="E37" s="36"/>
      <c r="F37" s="36">
        <f>SUM(D37:E37)</f>
        <v>20000000</v>
      </c>
      <c r="G37" s="36"/>
      <c r="H37" s="80">
        <v>50000000</v>
      </c>
      <c r="I37" s="36"/>
      <c r="J37" s="36">
        <f>SUM(H37:I37)</f>
        <v>50000000</v>
      </c>
      <c r="K37" s="36">
        <v>19182000</v>
      </c>
      <c r="L37" s="62">
        <f>K37*1.2</f>
        <v>23018400</v>
      </c>
    </row>
    <row r="38" spans="1:11" ht="12.75">
      <c r="A38" s="12">
        <v>6299</v>
      </c>
      <c r="B38" s="13" t="s">
        <v>98</v>
      </c>
      <c r="C38" s="13"/>
      <c r="D38" s="36">
        <v>30000000</v>
      </c>
      <c r="E38" s="36"/>
      <c r="F38" s="36">
        <f>SUM(D38:E38)</f>
        <v>30000000</v>
      </c>
      <c r="G38" s="13"/>
      <c r="H38" s="36">
        <v>23000000</v>
      </c>
      <c r="I38" s="36"/>
      <c r="J38" s="36">
        <f>SUM(H38:I38)</f>
        <v>23000000</v>
      </c>
      <c r="K38" s="84"/>
    </row>
    <row r="39" spans="1:11" ht="12.75">
      <c r="A39" s="9">
        <v>6300</v>
      </c>
      <c r="B39" s="10" t="s">
        <v>17</v>
      </c>
      <c r="C39" s="34">
        <f>SUM(C40:C43)</f>
        <v>1979644000</v>
      </c>
      <c r="D39" s="34">
        <f>SUM(D40:D43)</f>
        <v>3115912000</v>
      </c>
      <c r="E39" s="34">
        <f>SUM(E43:E43)</f>
        <v>0</v>
      </c>
      <c r="F39" s="34">
        <f>SUM(C39:E39)</f>
        <v>5095556000</v>
      </c>
      <c r="G39" s="34">
        <f>SUM(G40:G43)</f>
        <v>7743247000</v>
      </c>
      <c r="H39" s="34">
        <f>SUM(H40:H43)</f>
        <v>0</v>
      </c>
      <c r="I39" s="34">
        <f>SUM(I43:I43)</f>
        <v>0</v>
      </c>
      <c r="J39" s="34">
        <f>SUM(G39:I39)</f>
        <v>7743247000</v>
      </c>
      <c r="K39" s="34">
        <f>SUM(K40:K43)</f>
        <v>6452707058</v>
      </c>
    </row>
    <row r="40" spans="1:12" ht="12.75">
      <c r="A40" s="12">
        <v>6301</v>
      </c>
      <c r="B40" s="13" t="s">
        <v>193</v>
      </c>
      <c r="C40" s="36">
        <f>1720000000-548356000</f>
        <v>1171644000</v>
      </c>
      <c r="D40" s="36">
        <f>1520156000+538000000</f>
        <v>2058156000</v>
      </c>
      <c r="E40" s="36"/>
      <c r="F40" s="36">
        <f>C40+D40+E40</f>
        <v>3229800000</v>
      </c>
      <c r="G40" s="36">
        <v>5679020000</v>
      </c>
      <c r="H40" s="36"/>
      <c r="I40" s="36"/>
      <c r="J40" s="36">
        <f>G40+H40+I40</f>
        <v>5679020000</v>
      </c>
      <c r="K40" s="36">
        <f>4632516740+100000000</f>
        <v>4732516740</v>
      </c>
      <c r="L40" s="62">
        <f>K40*1.2</f>
        <v>5679020088</v>
      </c>
    </row>
    <row r="41" spans="1:12" ht="12.75">
      <c r="A41" s="12">
        <v>6302</v>
      </c>
      <c r="B41" s="13" t="s">
        <v>176</v>
      </c>
      <c r="C41" s="36">
        <v>298000000</v>
      </c>
      <c r="D41" s="36">
        <f>331756000+120000000</f>
        <v>451756000</v>
      </c>
      <c r="E41" s="36"/>
      <c r="F41" s="36">
        <f>C41+D41+E41</f>
        <v>749756000</v>
      </c>
      <c r="G41" s="36">
        <v>989459000</v>
      </c>
      <c r="H41" s="36"/>
      <c r="I41" s="36"/>
      <c r="J41" s="36">
        <f>G41+H41+I41</f>
        <v>989459000</v>
      </c>
      <c r="K41" s="36">
        <f>774549604+50000000</f>
        <v>824549604</v>
      </c>
      <c r="L41" s="62">
        <f>K41*1.2</f>
        <v>989459524.8</v>
      </c>
    </row>
    <row r="42" spans="1:12" ht="12.75">
      <c r="A42" s="12">
        <v>6303</v>
      </c>
      <c r="B42" s="13" t="s">
        <v>177</v>
      </c>
      <c r="C42" s="36">
        <v>255000000</v>
      </c>
      <c r="D42" s="36">
        <f>210000000+93000000</f>
        <v>303000000</v>
      </c>
      <c r="E42" s="36"/>
      <c r="F42" s="36">
        <f>C42+D42+E42</f>
        <v>558000000</v>
      </c>
      <c r="G42" s="36">
        <v>446511000</v>
      </c>
      <c r="H42" s="36"/>
      <c r="I42" s="36"/>
      <c r="J42" s="36">
        <f>G42+H42+I42</f>
        <v>446511000</v>
      </c>
      <c r="K42" s="36">
        <f>322092988+50000000</f>
        <v>372092988</v>
      </c>
      <c r="L42" s="62">
        <f>K42*1.2</f>
        <v>446511585.59999996</v>
      </c>
    </row>
    <row r="43" spans="1:12" ht="12.75">
      <c r="A43" s="12">
        <v>6349</v>
      </c>
      <c r="B43" s="13" t="s">
        <v>178</v>
      </c>
      <c r="C43" s="36">
        <v>255000000</v>
      </c>
      <c r="D43" s="36">
        <f>210000000+93000000</f>
        <v>303000000</v>
      </c>
      <c r="E43" s="36"/>
      <c r="F43" s="36">
        <f>SUM(C43:E43)</f>
        <v>558000000</v>
      </c>
      <c r="G43" s="36">
        <v>628257000</v>
      </c>
      <c r="H43" s="36"/>
      <c r="I43" s="36"/>
      <c r="J43" s="36">
        <f>SUM(G43:I43)</f>
        <v>628257000</v>
      </c>
      <c r="K43" s="36">
        <f>473547726+50000000</f>
        <v>523547726</v>
      </c>
      <c r="L43" s="62">
        <f>K43*1.2</f>
        <v>628257271.1999999</v>
      </c>
    </row>
    <row r="44" spans="1:11" ht="12.75">
      <c r="A44" s="9">
        <v>6400</v>
      </c>
      <c r="B44" s="10" t="s">
        <v>99</v>
      </c>
      <c r="C44" s="34">
        <f>C45+C46</f>
        <v>0</v>
      </c>
      <c r="D44" s="34">
        <f>D45</f>
        <v>15921808250</v>
      </c>
      <c r="E44" s="34">
        <f>SUM(E45)</f>
        <v>0</v>
      </c>
      <c r="F44" s="34">
        <f>SUM(C44:E44)</f>
        <v>15921808250</v>
      </c>
      <c r="G44" s="34">
        <f>G45+G46</f>
        <v>0</v>
      </c>
      <c r="H44" s="34">
        <f>H45</f>
        <v>32292000000</v>
      </c>
      <c r="I44" s="34">
        <f>SUM(I45)</f>
        <v>0</v>
      </c>
      <c r="J44" s="34">
        <f>SUM(G44:I44)</f>
        <v>32292000000</v>
      </c>
      <c r="K44" s="66">
        <f>SUM(K45:K46)</f>
        <v>26910540280</v>
      </c>
    </row>
    <row r="45" spans="1:13" ht="25.5">
      <c r="A45" s="12">
        <v>6404</v>
      </c>
      <c r="B45" s="22" t="s">
        <v>166</v>
      </c>
      <c r="C45" s="36"/>
      <c r="D45" s="36">
        <v>15921808250</v>
      </c>
      <c r="E45" s="36"/>
      <c r="F45" s="36">
        <f>C45+D45</f>
        <v>15921808250</v>
      </c>
      <c r="G45" s="36"/>
      <c r="H45" s="36">
        <v>32292000000</v>
      </c>
      <c r="I45" s="36"/>
      <c r="J45" s="36">
        <f>G45+H45</f>
        <v>32292000000</v>
      </c>
      <c r="K45" s="36">
        <v>26910540280</v>
      </c>
      <c r="L45" s="62">
        <f>K45*1.2</f>
        <v>32292648336</v>
      </c>
      <c r="M45" s="27"/>
    </row>
    <row r="46" spans="1:11" ht="12.75">
      <c r="A46" s="12">
        <v>6499</v>
      </c>
      <c r="B46" s="22" t="s">
        <v>30</v>
      </c>
      <c r="C46" s="36"/>
      <c r="D46" s="36"/>
      <c r="E46" s="36"/>
      <c r="F46" s="36"/>
      <c r="G46" s="36"/>
      <c r="H46" s="36"/>
      <c r="I46" s="36"/>
      <c r="J46" s="36"/>
      <c r="K46" s="84"/>
    </row>
    <row r="47" spans="1:11" ht="12.75">
      <c r="A47" s="9" t="s">
        <v>19</v>
      </c>
      <c r="B47" s="35" t="s">
        <v>18</v>
      </c>
      <c r="C47" s="34">
        <f aca="true" t="shared" si="5" ref="C47:J47">C48+C54+C59+C75+C85+C91+C98+C99+C100</f>
        <v>11453356000</v>
      </c>
      <c r="D47" s="34">
        <f t="shared" si="5"/>
        <v>37681000000</v>
      </c>
      <c r="E47" s="34">
        <f t="shared" si="5"/>
        <v>920000000</v>
      </c>
      <c r="F47" s="34">
        <f t="shared" si="5"/>
        <v>50054356000</v>
      </c>
      <c r="G47" s="34">
        <f t="shared" si="5"/>
        <v>5560000000</v>
      </c>
      <c r="H47" s="34">
        <f t="shared" si="5"/>
        <v>70944068360</v>
      </c>
      <c r="I47" s="34">
        <f t="shared" si="5"/>
        <v>5025000000</v>
      </c>
      <c r="J47" s="34">
        <f t="shared" si="5"/>
        <v>81529068360</v>
      </c>
      <c r="K47" s="66">
        <f>K48+K54+K59+K75+K85+K91+K98+K99+K100</f>
        <v>59965860701</v>
      </c>
    </row>
    <row r="48" spans="1:11" ht="12.75">
      <c r="A48" s="9">
        <v>6500</v>
      </c>
      <c r="B48" s="10" t="s">
        <v>20</v>
      </c>
      <c r="C48" s="34">
        <f>SUM(C49:C53)</f>
        <v>1060000000</v>
      </c>
      <c r="D48" s="34">
        <f>SUM(D49:D53)</f>
        <v>2140000000</v>
      </c>
      <c r="E48" s="34">
        <f>SUM(E49:E52)</f>
        <v>0</v>
      </c>
      <c r="F48" s="34">
        <f aca="true" t="shared" si="6" ref="F48:F59">SUM(C48:E48)</f>
        <v>3200000000</v>
      </c>
      <c r="G48" s="34">
        <f>SUM(G49:G53)</f>
        <v>0</v>
      </c>
      <c r="H48" s="34">
        <f>SUM(H49:H53)</f>
        <v>3958434000</v>
      </c>
      <c r="I48" s="34">
        <f>SUM(I49:I52)</f>
        <v>0</v>
      </c>
      <c r="J48" s="34">
        <f aca="true" t="shared" si="7" ref="J48:J59">SUM(G48:I48)</f>
        <v>3958434000</v>
      </c>
      <c r="K48" s="34">
        <f>SUM(K49:K53)</f>
        <v>3298696408</v>
      </c>
    </row>
    <row r="49" spans="1:12" ht="12.75">
      <c r="A49" s="12">
        <v>6501</v>
      </c>
      <c r="B49" s="13" t="s">
        <v>21</v>
      </c>
      <c r="C49" s="36">
        <v>450000000</v>
      </c>
      <c r="D49" s="36">
        <v>800000000</v>
      </c>
      <c r="E49" s="36"/>
      <c r="F49" s="36">
        <f t="shared" si="6"/>
        <v>1250000000</v>
      </c>
      <c r="G49" s="36"/>
      <c r="H49" s="80">
        <v>2155316000</v>
      </c>
      <c r="I49" s="36"/>
      <c r="J49" s="36">
        <f t="shared" si="7"/>
        <v>2155316000</v>
      </c>
      <c r="K49" s="36">
        <v>1796096928</v>
      </c>
      <c r="L49" s="62">
        <f>K49*1.2</f>
        <v>2155316313.6</v>
      </c>
    </row>
    <row r="50" spans="1:12" ht="12.75">
      <c r="A50" s="12">
        <v>6502</v>
      </c>
      <c r="B50" s="13" t="s">
        <v>22</v>
      </c>
      <c r="C50" s="36">
        <v>240000000</v>
      </c>
      <c r="D50" s="36">
        <v>440000000</v>
      </c>
      <c r="E50" s="36"/>
      <c r="F50" s="36">
        <f t="shared" si="6"/>
        <v>680000000</v>
      </c>
      <c r="G50" s="36"/>
      <c r="H50" s="80">
        <v>612360000</v>
      </c>
      <c r="I50" s="36"/>
      <c r="J50" s="36">
        <f t="shared" si="7"/>
        <v>612360000</v>
      </c>
      <c r="K50" s="36">
        <v>510300000</v>
      </c>
      <c r="L50" s="62">
        <f>K50*1.2</f>
        <v>612360000</v>
      </c>
    </row>
    <row r="51" spans="1:12" ht="12.75">
      <c r="A51" s="12">
        <v>6503</v>
      </c>
      <c r="B51" s="13" t="s">
        <v>23</v>
      </c>
      <c r="C51" s="36">
        <v>250000000</v>
      </c>
      <c r="D51" s="36">
        <v>300000000</v>
      </c>
      <c r="E51" s="36"/>
      <c r="F51" s="36">
        <f t="shared" si="6"/>
        <v>550000000</v>
      </c>
      <c r="G51" s="36"/>
      <c r="H51" s="36">
        <v>968270000</v>
      </c>
      <c r="I51" s="36"/>
      <c r="J51" s="36">
        <f t="shared" si="7"/>
        <v>968270000</v>
      </c>
      <c r="K51" s="36">
        <v>806892480</v>
      </c>
      <c r="L51" s="62">
        <f>K51*1.2</f>
        <v>968270976</v>
      </c>
    </row>
    <row r="52" spans="1:12" ht="12.75">
      <c r="A52" s="12">
        <v>6504</v>
      </c>
      <c r="B52" s="13" t="s">
        <v>24</v>
      </c>
      <c r="C52" s="36">
        <v>100000000</v>
      </c>
      <c r="D52" s="36">
        <v>400000000</v>
      </c>
      <c r="E52" s="36"/>
      <c r="F52" s="36">
        <f t="shared" si="6"/>
        <v>500000000</v>
      </c>
      <c r="G52" s="36"/>
      <c r="H52" s="80">
        <v>187200000</v>
      </c>
      <c r="I52" s="36"/>
      <c r="J52" s="36">
        <f t="shared" si="7"/>
        <v>187200000</v>
      </c>
      <c r="K52" s="36">
        <v>156000000</v>
      </c>
      <c r="L52" s="62">
        <f>K52*1.2</f>
        <v>187200000</v>
      </c>
    </row>
    <row r="53" spans="1:12" ht="12.75">
      <c r="A53" s="12">
        <v>6549</v>
      </c>
      <c r="B53" s="13" t="s">
        <v>167</v>
      </c>
      <c r="C53" s="36">
        <v>20000000</v>
      </c>
      <c r="D53" s="36">
        <v>200000000</v>
      </c>
      <c r="E53" s="36"/>
      <c r="F53" s="36">
        <f t="shared" si="6"/>
        <v>220000000</v>
      </c>
      <c r="G53" s="36"/>
      <c r="H53" s="80">
        <v>35288000</v>
      </c>
      <c r="I53" s="36"/>
      <c r="J53" s="36">
        <f t="shared" si="7"/>
        <v>35288000</v>
      </c>
      <c r="K53" s="36">
        <v>29407000</v>
      </c>
      <c r="L53" s="62">
        <f>K53*1.2</f>
        <v>35288400</v>
      </c>
    </row>
    <row r="54" spans="1:11" ht="12.75">
      <c r="A54" s="9">
        <v>6550</v>
      </c>
      <c r="B54" s="10" t="s">
        <v>25</v>
      </c>
      <c r="C54" s="34">
        <f>SUM(C55:C58)</f>
        <v>1450000000</v>
      </c>
      <c r="D54" s="34">
        <f>SUM(D55:D58)</f>
        <v>1150000000</v>
      </c>
      <c r="E54" s="34">
        <f>SUM(E55:E58)</f>
        <v>0</v>
      </c>
      <c r="F54" s="34">
        <f t="shared" si="6"/>
        <v>2600000000</v>
      </c>
      <c r="G54" s="34">
        <f>SUM(G55:G58)</f>
        <v>0</v>
      </c>
      <c r="H54" s="34">
        <f>SUM(H55:H58)</f>
        <v>2932983000</v>
      </c>
      <c r="I54" s="34">
        <f>I55+I56+I57+I58</f>
        <v>0</v>
      </c>
      <c r="J54" s="34">
        <f t="shared" si="7"/>
        <v>2932983000</v>
      </c>
      <c r="K54" s="34">
        <f>SUM(K55:K58)</f>
        <v>2444153000</v>
      </c>
    </row>
    <row r="55" spans="1:12" ht="12.75">
      <c r="A55" s="12">
        <v>6551</v>
      </c>
      <c r="B55" s="13" t="s">
        <v>26</v>
      </c>
      <c r="C55" s="36">
        <v>300000000</v>
      </c>
      <c r="D55" s="36">
        <v>850000000</v>
      </c>
      <c r="E55" s="36"/>
      <c r="F55" s="36">
        <f t="shared" si="6"/>
        <v>1150000000</v>
      </c>
      <c r="G55" s="36"/>
      <c r="H55" s="36">
        <v>1626566000</v>
      </c>
      <c r="I55" s="36"/>
      <c r="J55" s="36">
        <f>SUM(G55:I55)</f>
        <v>1626566000</v>
      </c>
      <c r="K55" s="36">
        <v>1355472000</v>
      </c>
      <c r="L55" s="62">
        <f>K55*1.2</f>
        <v>1626566400</v>
      </c>
    </row>
    <row r="56" spans="1:12" ht="12.75">
      <c r="A56" s="12">
        <v>6552</v>
      </c>
      <c r="B56" s="13" t="s">
        <v>27</v>
      </c>
      <c r="C56" s="36">
        <v>400000000</v>
      </c>
      <c r="D56" s="36">
        <v>200000000</v>
      </c>
      <c r="E56" s="36"/>
      <c r="F56" s="36">
        <f t="shared" si="6"/>
        <v>600000000</v>
      </c>
      <c r="G56" s="36"/>
      <c r="H56" s="36">
        <v>598032000</v>
      </c>
      <c r="I56" s="36"/>
      <c r="J56" s="36">
        <f>SUM(G56:I56)</f>
        <v>598032000</v>
      </c>
      <c r="K56" s="36">
        <v>498360000</v>
      </c>
      <c r="L56" s="62">
        <f>K56*1.2</f>
        <v>598032000</v>
      </c>
    </row>
    <row r="57" spans="1:12" ht="12.75">
      <c r="A57" s="12">
        <v>6553</v>
      </c>
      <c r="B57" s="13" t="s">
        <v>100</v>
      </c>
      <c r="C57" s="36">
        <v>150000000</v>
      </c>
      <c r="D57" s="36">
        <v>50000000</v>
      </c>
      <c r="E57" s="36"/>
      <c r="F57" s="36">
        <f t="shared" si="6"/>
        <v>200000000</v>
      </c>
      <c r="G57" s="36"/>
      <c r="H57" s="36">
        <v>276696000</v>
      </c>
      <c r="I57" s="36"/>
      <c r="J57" s="36">
        <f>SUM(G57:I57)</f>
        <v>276696000</v>
      </c>
      <c r="K57" s="36">
        <v>230580000</v>
      </c>
      <c r="L57" s="62">
        <f>K57*1.2</f>
        <v>276696000</v>
      </c>
    </row>
    <row r="58" spans="1:12" ht="12.75">
      <c r="A58" s="12">
        <v>6599</v>
      </c>
      <c r="B58" s="13" t="s">
        <v>28</v>
      </c>
      <c r="C58" s="36">
        <v>600000000</v>
      </c>
      <c r="D58" s="36">
        <v>50000000</v>
      </c>
      <c r="E58" s="36"/>
      <c r="F58" s="36">
        <f t="shared" si="6"/>
        <v>650000000</v>
      </c>
      <c r="G58" s="36"/>
      <c r="H58" s="36">
        <v>431689000</v>
      </c>
      <c r="I58" s="36"/>
      <c r="J58" s="36">
        <f>SUM(G58:I58)</f>
        <v>431689000</v>
      </c>
      <c r="K58" s="36">
        <v>359741000</v>
      </c>
      <c r="L58" s="62">
        <f>K58*1.2</f>
        <v>431689200</v>
      </c>
    </row>
    <row r="59" spans="1:11" ht="12.75">
      <c r="A59" s="9">
        <v>6600</v>
      </c>
      <c r="B59" s="10" t="s">
        <v>29</v>
      </c>
      <c r="C59" s="34">
        <f>SUM(C60:C74)</f>
        <v>811000000</v>
      </c>
      <c r="D59" s="34">
        <f>SUM(D60:D74)</f>
        <v>371000000</v>
      </c>
      <c r="E59" s="34">
        <f>SUM(E66:E74)</f>
        <v>0</v>
      </c>
      <c r="F59" s="34">
        <f t="shared" si="6"/>
        <v>1182000000</v>
      </c>
      <c r="G59" s="34">
        <f>SUM(G60:G74)</f>
        <v>0</v>
      </c>
      <c r="H59" s="34">
        <f>SUM(H60:H74)</f>
        <v>782662000</v>
      </c>
      <c r="I59" s="36">
        <f>SUM(I66:I74)</f>
        <v>0</v>
      </c>
      <c r="J59" s="34">
        <f t="shared" si="7"/>
        <v>782662000</v>
      </c>
      <c r="K59" s="34">
        <f>SUM(K60:K74)</f>
        <v>651765808</v>
      </c>
    </row>
    <row r="60" spans="1:12" ht="12.75">
      <c r="A60" s="12">
        <v>6601</v>
      </c>
      <c r="B60" s="13" t="s">
        <v>101</v>
      </c>
      <c r="C60" s="36">
        <v>250000000</v>
      </c>
      <c r="D60" s="36">
        <v>50000000</v>
      </c>
      <c r="E60" s="36"/>
      <c r="F60" s="36">
        <f>C60+D60+E60</f>
        <v>300000000</v>
      </c>
      <c r="G60" s="36"/>
      <c r="H60" s="36">
        <v>111000000</v>
      </c>
      <c r="I60" s="36"/>
      <c r="J60" s="36">
        <f>G60+H60+I60</f>
        <v>111000000</v>
      </c>
      <c r="K60" s="36">
        <v>92748000</v>
      </c>
      <c r="L60" s="62">
        <f aca="true" t="shared" si="8" ref="L60:L74">K60*1.2</f>
        <v>111297600</v>
      </c>
    </row>
    <row r="61" spans="1:12" ht="12.75">
      <c r="A61" s="12">
        <v>6602</v>
      </c>
      <c r="B61" s="13" t="s">
        <v>102</v>
      </c>
      <c r="C61" s="36"/>
      <c r="D61" s="36"/>
      <c r="E61" s="36"/>
      <c r="F61" s="36">
        <f aca="true" t="shared" si="9" ref="F61:F74">C61+D61+E61</f>
        <v>0</v>
      </c>
      <c r="G61" s="36"/>
      <c r="H61" s="36"/>
      <c r="I61" s="36"/>
      <c r="J61" s="36">
        <f aca="true" t="shared" si="10" ref="J61:J74">G61+H61+I61</f>
        <v>0</v>
      </c>
      <c r="K61" s="84"/>
      <c r="L61" s="62">
        <f t="shared" si="8"/>
        <v>0</v>
      </c>
    </row>
    <row r="62" spans="1:12" ht="12.75">
      <c r="A62" s="12">
        <v>6603</v>
      </c>
      <c r="B62" s="13" t="s">
        <v>103</v>
      </c>
      <c r="C62" s="36">
        <v>100000000</v>
      </c>
      <c r="D62" s="36">
        <v>50000000</v>
      </c>
      <c r="E62" s="36"/>
      <c r="F62" s="36">
        <f t="shared" si="9"/>
        <v>150000000</v>
      </c>
      <c r="G62" s="36"/>
      <c r="H62" s="36">
        <v>100000000</v>
      </c>
      <c r="I62" s="36"/>
      <c r="J62" s="36">
        <f t="shared" si="10"/>
        <v>100000000</v>
      </c>
      <c r="K62" s="36">
        <v>82632000</v>
      </c>
      <c r="L62" s="62">
        <f t="shared" si="8"/>
        <v>99158400</v>
      </c>
    </row>
    <row r="63" spans="1:12" ht="12.75">
      <c r="A63" s="12">
        <v>6604</v>
      </c>
      <c r="B63" s="13" t="s">
        <v>104</v>
      </c>
      <c r="C63" s="36"/>
      <c r="D63" s="36"/>
      <c r="E63" s="36"/>
      <c r="F63" s="36">
        <f t="shared" si="9"/>
        <v>0</v>
      </c>
      <c r="G63" s="36"/>
      <c r="H63" s="36"/>
      <c r="I63" s="36"/>
      <c r="J63" s="36">
        <f t="shared" si="10"/>
        <v>0</v>
      </c>
      <c r="K63" s="84"/>
      <c r="L63" s="62">
        <f t="shared" si="8"/>
        <v>0</v>
      </c>
    </row>
    <row r="64" spans="1:12" ht="12.75">
      <c r="A64" s="12">
        <v>6605</v>
      </c>
      <c r="B64" s="13" t="s">
        <v>105</v>
      </c>
      <c r="C64" s="36">
        <v>15000000</v>
      </c>
      <c r="D64" s="36">
        <v>20000000</v>
      </c>
      <c r="E64" s="36"/>
      <c r="F64" s="36">
        <f t="shared" si="9"/>
        <v>35000000</v>
      </c>
      <c r="G64" s="36"/>
      <c r="H64" s="36"/>
      <c r="I64" s="36"/>
      <c r="J64" s="36">
        <f t="shared" si="10"/>
        <v>0</v>
      </c>
      <c r="K64" s="84"/>
      <c r="L64" s="62">
        <f t="shared" si="8"/>
        <v>0</v>
      </c>
    </row>
    <row r="65" spans="1:12" ht="12.75">
      <c r="A65" s="12">
        <v>6606</v>
      </c>
      <c r="B65" s="13" t="s">
        <v>106</v>
      </c>
      <c r="C65" s="36"/>
      <c r="D65" s="36"/>
      <c r="E65" s="36"/>
      <c r="F65" s="36">
        <f t="shared" si="9"/>
        <v>0</v>
      </c>
      <c r="G65" s="36"/>
      <c r="H65" s="36"/>
      <c r="I65" s="36"/>
      <c r="J65" s="36">
        <f t="shared" si="10"/>
        <v>0</v>
      </c>
      <c r="K65" s="84"/>
      <c r="L65" s="62">
        <f t="shared" si="8"/>
        <v>0</v>
      </c>
    </row>
    <row r="66" spans="1:12" ht="12.75">
      <c r="A66" s="12">
        <v>6607</v>
      </c>
      <c r="B66" s="13" t="s">
        <v>107</v>
      </c>
      <c r="C66" s="36">
        <v>30000000</v>
      </c>
      <c r="D66" s="36"/>
      <c r="E66" s="36"/>
      <c r="F66" s="36">
        <f t="shared" si="9"/>
        <v>30000000</v>
      </c>
      <c r="G66" s="36"/>
      <c r="H66" s="36"/>
      <c r="I66" s="36"/>
      <c r="J66" s="36">
        <f t="shared" si="10"/>
        <v>0</v>
      </c>
      <c r="K66" s="84"/>
      <c r="L66" s="62">
        <f t="shared" si="8"/>
        <v>0</v>
      </c>
    </row>
    <row r="67" spans="1:12" ht="12.75">
      <c r="A67" s="12">
        <v>6608</v>
      </c>
      <c r="B67" s="13" t="s">
        <v>108</v>
      </c>
      <c r="C67" s="36"/>
      <c r="D67" s="36"/>
      <c r="E67" s="36"/>
      <c r="F67" s="36">
        <f t="shared" si="9"/>
        <v>0</v>
      </c>
      <c r="G67" s="36"/>
      <c r="H67" s="36"/>
      <c r="I67" s="36"/>
      <c r="J67" s="36">
        <f t="shared" si="10"/>
        <v>0</v>
      </c>
      <c r="K67" s="84"/>
      <c r="L67" s="62">
        <f t="shared" si="8"/>
        <v>0</v>
      </c>
    </row>
    <row r="68" spans="1:12" ht="12.75">
      <c r="A68" s="12">
        <v>6611</v>
      </c>
      <c r="B68" s="13" t="s">
        <v>109</v>
      </c>
      <c r="C68" s="36"/>
      <c r="D68" s="36"/>
      <c r="E68" s="36"/>
      <c r="F68" s="36">
        <f t="shared" si="9"/>
        <v>0</v>
      </c>
      <c r="G68" s="36"/>
      <c r="H68" s="36"/>
      <c r="I68" s="36"/>
      <c r="J68" s="36">
        <f t="shared" si="10"/>
        <v>0</v>
      </c>
      <c r="K68" s="84"/>
      <c r="L68" s="62">
        <f t="shared" si="8"/>
        <v>0</v>
      </c>
    </row>
    <row r="69" spans="1:12" ht="12.75">
      <c r="A69" s="12">
        <v>6612</v>
      </c>
      <c r="B69" s="13" t="s">
        <v>110</v>
      </c>
      <c r="C69" s="36">
        <v>150000000</v>
      </c>
      <c r="D69" s="36">
        <v>50000000</v>
      </c>
      <c r="E69" s="36"/>
      <c r="F69" s="36">
        <f t="shared" si="9"/>
        <v>200000000</v>
      </c>
      <c r="G69" s="36"/>
      <c r="H69" s="36">
        <v>173891000</v>
      </c>
      <c r="I69" s="36"/>
      <c r="J69" s="36">
        <f t="shared" si="10"/>
        <v>173891000</v>
      </c>
      <c r="K69" s="36">
        <v>144909600</v>
      </c>
      <c r="L69" s="62">
        <f t="shared" si="8"/>
        <v>173891520</v>
      </c>
    </row>
    <row r="70" spans="1:12" ht="12.75">
      <c r="A70" s="12">
        <v>6615</v>
      </c>
      <c r="B70" s="13" t="s">
        <v>111</v>
      </c>
      <c r="C70" s="36">
        <v>5000000</v>
      </c>
      <c r="D70" s="36">
        <v>10000000</v>
      </c>
      <c r="E70" s="36"/>
      <c r="F70" s="36">
        <f t="shared" si="9"/>
        <v>15000000</v>
      </c>
      <c r="G70" s="36"/>
      <c r="H70" s="36"/>
      <c r="I70" s="36"/>
      <c r="J70" s="36">
        <f t="shared" si="10"/>
        <v>0</v>
      </c>
      <c r="K70" s="84"/>
      <c r="L70" s="62">
        <f t="shared" si="8"/>
        <v>0</v>
      </c>
    </row>
    <row r="71" spans="1:12" ht="12.75">
      <c r="A71" s="12">
        <v>6616</v>
      </c>
      <c r="B71" s="13" t="s">
        <v>112</v>
      </c>
      <c r="C71" s="36">
        <v>1000000</v>
      </c>
      <c r="D71" s="36">
        <v>1000000</v>
      </c>
      <c r="E71" s="36"/>
      <c r="F71" s="36">
        <f t="shared" si="9"/>
        <v>2000000</v>
      </c>
      <c r="G71" s="36"/>
      <c r="H71" s="36"/>
      <c r="I71" s="36"/>
      <c r="J71" s="36">
        <f t="shared" si="10"/>
        <v>0</v>
      </c>
      <c r="K71" s="84"/>
      <c r="L71" s="62">
        <f t="shared" si="8"/>
        <v>0</v>
      </c>
    </row>
    <row r="72" spans="1:12" ht="12.75">
      <c r="A72" s="12">
        <v>6617</v>
      </c>
      <c r="B72" s="13" t="s">
        <v>113</v>
      </c>
      <c r="C72" s="36">
        <v>100000000</v>
      </c>
      <c r="D72" s="36">
        <v>50000000</v>
      </c>
      <c r="E72" s="36"/>
      <c r="F72" s="36">
        <f t="shared" si="9"/>
        <v>150000000</v>
      </c>
      <c r="G72" s="36"/>
      <c r="H72" s="36">
        <v>222091000</v>
      </c>
      <c r="I72" s="36"/>
      <c r="J72" s="36">
        <f t="shared" si="10"/>
        <v>222091000</v>
      </c>
      <c r="K72" s="36">
        <f>185075976+232</f>
        <v>185076208</v>
      </c>
      <c r="L72" s="62">
        <f t="shared" si="8"/>
        <v>222091449.6</v>
      </c>
    </row>
    <row r="73" spans="1:12" ht="12.75">
      <c r="A73" s="12">
        <v>6618</v>
      </c>
      <c r="B73" s="13" t="s">
        <v>114</v>
      </c>
      <c r="C73" s="36">
        <v>110000000</v>
      </c>
      <c r="D73" s="36">
        <v>90000000</v>
      </c>
      <c r="E73" s="36"/>
      <c r="F73" s="36">
        <f t="shared" si="9"/>
        <v>200000000</v>
      </c>
      <c r="G73" s="36"/>
      <c r="H73" s="36">
        <v>175680000</v>
      </c>
      <c r="I73" s="36"/>
      <c r="J73" s="36">
        <f t="shared" si="10"/>
        <v>175680000</v>
      </c>
      <c r="K73" s="36">
        <v>146400000</v>
      </c>
      <c r="L73" s="62">
        <f t="shared" si="8"/>
        <v>175680000</v>
      </c>
    </row>
    <row r="74" spans="1:12" ht="12.75">
      <c r="A74" s="12">
        <v>6649</v>
      </c>
      <c r="B74" s="13" t="s">
        <v>30</v>
      </c>
      <c r="C74" s="36">
        <v>50000000</v>
      </c>
      <c r="D74" s="36">
        <v>50000000</v>
      </c>
      <c r="E74" s="36"/>
      <c r="F74" s="36">
        <f t="shared" si="9"/>
        <v>100000000</v>
      </c>
      <c r="G74" s="36"/>
      <c r="H74" s="36"/>
      <c r="I74" s="36"/>
      <c r="J74" s="36">
        <f t="shared" si="10"/>
        <v>0</v>
      </c>
      <c r="K74" s="84"/>
      <c r="L74" s="62">
        <f t="shared" si="8"/>
        <v>0</v>
      </c>
    </row>
    <row r="75" spans="1:11" ht="12.75">
      <c r="A75" s="9">
        <v>6650</v>
      </c>
      <c r="B75" s="10" t="s">
        <v>31</v>
      </c>
      <c r="C75" s="34">
        <f>SUM(C76:C83)</f>
        <v>1590000000</v>
      </c>
      <c r="D75" s="34">
        <f>SUM(D78:D84)</f>
        <v>260000000</v>
      </c>
      <c r="E75" s="34">
        <f>SUM(E78:E82)</f>
        <v>0</v>
      </c>
      <c r="F75" s="34">
        <f>SUM(C75:E75)</f>
        <v>1850000000</v>
      </c>
      <c r="G75" s="34">
        <f>SUM(G76:G83)</f>
        <v>0</v>
      </c>
      <c r="H75" s="34">
        <f>SUM(H78:H84)</f>
        <v>1679400000</v>
      </c>
      <c r="I75" s="34">
        <f>SUM(I78:I82)</f>
        <v>0</v>
      </c>
      <c r="J75" s="34">
        <f>SUM(G75:I75)</f>
        <v>1679400000</v>
      </c>
      <c r="K75" s="34">
        <f>SUM(K76:K84)</f>
        <v>1804300000</v>
      </c>
    </row>
    <row r="76" spans="1:12" ht="12.75">
      <c r="A76" s="9"/>
      <c r="B76" s="13" t="s">
        <v>158</v>
      </c>
      <c r="C76" s="36">
        <v>150000000</v>
      </c>
      <c r="D76" s="36">
        <v>50000000</v>
      </c>
      <c r="E76" s="34"/>
      <c r="F76" s="36">
        <f>C76+D76+E76</f>
        <v>200000000</v>
      </c>
      <c r="G76" s="36"/>
      <c r="H76" s="36">
        <v>271000000</v>
      </c>
      <c r="I76" s="34"/>
      <c r="J76" s="36">
        <f>G76+H76+I76</f>
        <v>271000000</v>
      </c>
      <c r="K76" s="36">
        <v>226000000</v>
      </c>
      <c r="L76" s="62">
        <f aca="true" t="shared" si="11" ref="L76:L84">K76*1.2</f>
        <v>271200000</v>
      </c>
    </row>
    <row r="77" spans="1:12" ht="12.75">
      <c r="A77" s="9"/>
      <c r="B77" s="13" t="s">
        <v>159</v>
      </c>
      <c r="C77" s="36">
        <v>300000000</v>
      </c>
      <c r="D77" s="36"/>
      <c r="E77" s="34"/>
      <c r="F77" s="36">
        <v>300000000</v>
      </c>
      <c r="G77" s="36"/>
      <c r="H77" s="36">
        <v>215000000</v>
      </c>
      <c r="I77" s="34"/>
      <c r="J77" s="36">
        <f>G77+H77+I77</f>
        <v>215000000</v>
      </c>
      <c r="K77" s="36">
        <v>179000000</v>
      </c>
      <c r="L77" s="62">
        <f t="shared" si="11"/>
        <v>214800000</v>
      </c>
    </row>
    <row r="78" spans="1:12" ht="12.75">
      <c r="A78" s="12"/>
      <c r="B78" s="13" t="s">
        <v>32</v>
      </c>
      <c r="C78" s="36">
        <v>200000000</v>
      </c>
      <c r="D78" s="36"/>
      <c r="E78" s="36"/>
      <c r="F78" s="36">
        <f aca="true" t="shared" si="12" ref="F78:F84">C78+D78+E78</f>
        <v>200000000</v>
      </c>
      <c r="G78" s="36"/>
      <c r="H78" s="36">
        <v>330000000</v>
      </c>
      <c r="I78" s="36"/>
      <c r="J78" s="36">
        <f aca="true" t="shared" si="13" ref="J78:J83">G78+H78+I78</f>
        <v>330000000</v>
      </c>
      <c r="K78" s="36">
        <v>274800000</v>
      </c>
      <c r="L78" s="62">
        <f t="shared" si="11"/>
        <v>329760000</v>
      </c>
    </row>
    <row r="79" spans="1:12" ht="12.75">
      <c r="A79" s="12"/>
      <c r="B79" s="13" t="s">
        <v>33</v>
      </c>
      <c r="C79" s="36">
        <v>50000000</v>
      </c>
      <c r="D79" s="36"/>
      <c r="E79" s="36"/>
      <c r="F79" s="36">
        <f t="shared" si="12"/>
        <v>50000000</v>
      </c>
      <c r="G79" s="36"/>
      <c r="H79" s="36">
        <v>76800000</v>
      </c>
      <c r="I79" s="36"/>
      <c r="J79" s="36">
        <f t="shared" si="13"/>
        <v>76800000</v>
      </c>
      <c r="K79" s="36">
        <v>64000000</v>
      </c>
      <c r="L79" s="62">
        <f t="shared" si="11"/>
        <v>76800000</v>
      </c>
    </row>
    <row r="80" spans="1:12" ht="12.75">
      <c r="A80" s="12"/>
      <c r="B80" s="13" t="s">
        <v>34</v>
      </c>
      <c r="C80" s="36">
        <v>150000000</v>
      </c>
      <c r="D80" s="36"/>
      <c r="E80" s="36"/>
      <c r="F80" s="36">
        <f t="shared" si="12"/>
        <v>150000000</v>
      </c>
      <c r="G80" s="36"/>
      <c r="H80" s="36">
        <v>158400000</v>
      </c>
      <c r="I80" s="36"/>
      <c r="J80" s="36">
        <f t="shared" si="13"/>
        <v>158400000</v>
      </c>
      <c r="K80" s="36">
        <v>132000000</v>
      </c>
      <c r="L80" s="62">
        <f t="shared" si="11"/>
        <v>158400000</v>
      </c>
    </row>
    <row r="81" spans="1:12" ht="39.75" customHeight="1">
      <c r="A81" s="12"/>
      <c r="B81" s="22" t="s">
        <v>172</v>
      </c>
      <c r="C81" s="36">
        <v>300000000</v>
      </c>
      <c r="D81" s="36"/>
      <c r="E81" s="36"/>
      <c r="F81" s="36">
        <f t="shared" si="12"/>
        <v>300000000</v>
      </c>
      <c r="G81" s="36"/>
      <c r="H81" s="36">
        <v>104400000</v>
      </c>
      <c r="I81" s="36"/>
      <c r="J81" s="36">
        <f t="shared" si="13"/>
        <v>104400000</v>
      </c>
      <c r="K81" s="36">
        <v>87000000</v>
      </c>
      <c r="L81" s="62">
        <f t="shared" si="11"/>
        <v>104400000</v>
      </c>
    </row>
    <row r="82" spans="1:12" ht="12.75">
      <c r="A82" s="12"/>
      <c r="B82" s="13" t="s">
        <v>139</v>
      </c>
      <c r="C82" s="36">
        <v>240000000</v>
      </c>
      <c r="D82" s="36">
        <v>60000000</v>
      </c>
      <c r="E82" s="36"/>
      <c r="F82" s="36">
        <f t="shared" si="12"/>
        <v>300000000</v>
      </c>
      <c r="G82" s="36"/>
      <c r="H82" s="36">
        <v>357600000</v>
      </c>
      <c r="I82" s="36"/>
      <c r="J82" s="36">
        <f t="shared" si="13"/>
        <v>357600000</v>
      </c>
      <c r="K82" s="36">
        <v>298000000</v>
      </c>
      <c r="L82" s="62">
        <f t="shared" si="11"/>
        <v>357600000</v>
      </c>
    </row>
    <row r="83" spans="1:12" ht="12.75">
      <c r="A83" s="12"/>
      <c r="B83" s="22" t="s">
        <v>179</v>
      </c>
      <c r="C83" s="36">
        <v>200000000</v>
      </c>
      <c r="D83" s="36"/>
      <c r="E83" s="36"/>
      <c r="F83" s="36">
        <f t="shared" si="12"/>
        <v>200000000</v>
      </c>
      <c r="G83" s="36"/>
      <c r="H83" s="36">
        <v>237600000</v>
      </c>
      <c r="I83" s="36"/>
      <c r="J83" s="36">
        <f t="shared" si="13"/>
        <v>237600000</v>
      </c>
      <c r="K83" s="36">
        <v>198000000</v>
      </c>
      <c r="L83" s="62">
        <f t="shared" si="11"/>
        <v>237600000</v>
      </c>
    </row>
    <row r="84" spans="1:12" ht="25.5">
      <c r="A84" s="12"/>
      <c r="B84" s="22" t="s">
        <v>180</v>
      </c>
      <c r="C84" s="36">
        <v>250000000</v>
      </c>
      <c r="D84" s="36">
        <v>200000000</v>
      </c>
      <c r="E84" s="36"/>
      <c r="F84" s="36">
        <f t="shared" si="12"/>
        <v>450000000</v>
      </c>
      <c r="G84" s="36"/>
      <c r="H84" s="36">
        <v>414600000</v>
      </c>
      <c r="I84" s="36"/>
      <c r="J84" s="36">
        <f>G84+H84+I84</f>
        <v>414600000</v>
      </c>
      <c r="K84" s="36">
        <v>345500000</v>
      </c>
      <c r="L84" s="62">
        <f t="shared" si="11"/>
        <v>414600000</v>
      </c>
    </row>
    <row r="85" spans="1:11" ht="12.75">
      <c r="A85" s="9">
        <v>6700</v>
      </c>
      <c r="B85" s="10" t="s">
        <v>35</v>
      </c>
      <c r="C85" s="34">
        <f>SUM(C86:C90)</f>
        <v>1560000000</v>
      </c>
      <c r="D85" s="34">
        <f>SUM(D86:D90)</f>
        <v>150000000</v>
      </c>
      <c r="E85" s="34">
        <f>SUM(E86:E89)</f>
        <v>0</v>
      </c>
      <c r="F85" s="34">
        <f>C85+D85+E85</f>
        <v>1710000000</v>
      </c>
      <c r="G85" s="34">
        <f>SUM(G86:G90)</f>
        <v>0</v>
      </c>
      <c r="H85" s="34">
        <f>SUM(H86:H90)</f>
        <v>1565330000</v>
      </c>
      <c r="I85" s="34">
        <f>SUM(I86:I89)</f>
        <v>0</v>
      </c>
      <c r="J85" s="34">
        <f>G85+H85+I85</f>
        <v>1565330000</v>
      </c>
      <c r="K85" s="34">
        <f>SUM(K86:K90)</f>
        <v>1294847300</v>
      </c>
    </row>
    <row r="86" spans="1:12" ht="12.75">
      <c r="A86" s="12">
        <v>6701</v>
      </c>
      <c r="B86" s="13" t="s">
        <v>36</v>
      </c>
      <c r="C86" s="36">
        <v>600000000</v>
      </c>
      <c r="D86" s="36">
        <v>50000000</v>
      </c>
      <c r="E86" s="36"/>
      <c r="F86" s="36">
        <f aca="true" t="shared" si="14" ref="F86:F97">SUM(C86:E86)</f>
        <v>650000000</v>
      </c>
      <c r="G86" s="36"/>
      <c r="H86" s="36">
        <v>1067330000</v>
      </c>
      <c r="I86" s="36"/>
      <c r="J86" s="36">
        <f aca="true" t="shared" si="15" ref="J86:J97">SUM(G86:I86)</f>
        <v>1067330000</v>
      </c>
      <c r="K86" s="36">
        <v>889442300</v>
      </c>
      <c r="L86" s="62">
        <f>K86*1.2</f>
        <v>1067330760</v>
      </c>
    </row>
    <row r="87" spans="1:12" ht="12.75">
      <c r="A87" s="12">
        <v>6702</v>
      </c>
      <c r="B87" s="13" t="s">
        <v>37</v>
      </c>
      <c r="C87" s="36">
        <v>300000000</v>
      </c>
      <c r="D87" s="36">
        <v>30000000</v>
      </c>
      <c r="E87" s="36"/>
      <c r="F87" s="36">
        <f t="shared" si="14"/>
        <v>330000000</v>
      </c>
      <c r="G87" s="36"/>
      <c r="H87" s="36">
        <v>169000000</v>
      </c>
      <c r="I87" s="36"/>
      <c r="J87" s="36">
        <f t="shared" si="15"/>
        <v>169000000</v>
      </c>
      <c r="K87" s="36">
        <v>140720000</v>
      </c>
      <c r="L87" s="62">
        <f>K87*1.2</f>
        <v>168864000</v>
      </c>
    </row>
    <row r="88" spans="1:12" ht="12.75">
      <c r="A88" s="12">
        <v>6703</v>
      </c>
      <c r="B88" s="13" t="s">
        <v>38</v>
      </c>
      <c r="C88" s="36">
        <v>600000000</v>
      </c>
      <c r="D88" s="36">
        <v>50000000</v>
      </c>
      <c r="E88" s="36"/>
      <c r="F88" s="36">
        <f t="shared" si="14"/>
        <v>650000000</v>
      </c>
      <c r="G88" s="36"/>
      <c r="H88" s="36">
        <v>300000000</v>
      </c>
      <c r="I88" s="36"/>
      <c r="J88" s="36">
        <f t="shared" si="15"/>
        <v>300000000</v>
      </c>
      <c r="K88" s="36">
        <v>242976000</v>
      </c>
      <c r="L88" s="62">
        <f>K88*1.2</f>
        <v>291571200</v>
      </c>
    </row>
    <row r="89" spans="1:12" ht="12.75">
      <c r="A89" s="12">
        <v>6704</v>
      </c>
      <c r="B89" s="13" t="s">
        <v>39</v>
      </c>
      <c r="C89" s="36">
        <v>30000000</v>
      </c>
      <c r="D89" s="36">
        <v>10000000</v>
      </c>
      <c r="E89" s="36"/>
      <c r="F89" s="36">
        <f t="shared" si="14"/>
        <v>40000000</v>
      </c>
      <c r="G89" s="36"/>
      <c r="H89" s="36">
        <v>9000000</v>
      </c>
      <c r="I89" s="36"/>
      <c r="J89" s="36">
        <f t="shared" si="15"/>
        <v>9000000</v>
      </c>
      <c r="K89" s="36">
        <v>5400000</v>
      </c>
      <c r="L89" s="62">
        <f>K89*1.2</f>
        <v>6480000</v>
      </c>
    </row>
    <row r="90" spans="1:12" ht="12.75">
      <c r="A90" s="12">
        <v>6749</v>
      </c>
      <c r="B90" s="13" t="s">
        <v>30</v>
      </c>
      <c r="C90" s="36">
        <v>30000000</v>
      </c>
      <c r="D90" s="36">
        <v>10000000</v>
      </c>
      <c r="E90" s="36"/>
      <c r="F90" s="36">
        <f t="shared" si="14"/>
        <v>40000000</v>
      </c>
      <c r="G90" s="36"/>
      <c r="H90" s="36">
        <v>20000000</v>
      </c>
      <c r="I90" s="36"/>
      <c r="J90" s="36">
        <f t="shared" si="15"/>
        <v>20000000</v>
      </c>
      <c r="K90" s="36">
        <v>16309000</v>
      </c>
      <c r="L90" s="62">
        <f>K90*1.2</f>
        <v>19570800</v>
      </c>
    </row>
    <row r="91" spans="1:11" ht="12.75">
      <c r="A91" s="9">
        <v>6750</v>
      </c>
      <c r="B91" s="10" t="s">
        <v>40</v>
      </c>
      <c r="C91" s="34">
        <f>SUM(C92:C97)</f>
        <v>300000000</v>
      </c>
      <c r="D91" s="34">
        <f>SUM(D92:D97)</f>
        <v>2330000000</v>
      </c>
      <c r="E91" s="34">
        <f>SUM(E92:E97)</f>
        <v>370000000</v>
      </c>
      <c r="F91" s="34">
        <f t="shared" si="14"/>
        <v>3000000000</v>
      </c>
      <c r="G91" s="34">
        <f>SUM(G92:G97)</f>
        <v>0</v>
      </c>
      <c r="H91" s="34">
        <f>SUM(H92:H97)</f>
        <v>5411000000</v>
      </c>
      <c r="I91" s="34">
        <f>SUM(I92:I97)</f>
        <v>275000000</v>
      </c>
      <c r="J91" s="34">
        <f t="shared" si="15"/>
        <v>5686000000</v>
      </c>
      <c r="K91" s="34">
        <f>SUM(K92:K97)</f>
        <v>4301358156</v>
      </c>
    </row>
    <row r="92" spans="1:12" ht="12.75">
      <c r="A92" s="12">
        <v>6751</v>
      </c>
      <c r="B92" s="13" t="s">
        <v>41</v>
      </c>
      <c r="C92" s="36">
        <v>30000000</v>
      </c>
      <c r="D92" s="36"/>
      <c r="E92" s="36"/>
      <c r="F92" s="36">
        <f t="shared" si="14"/>
        <v>30000000</v>
      </c>
      <c r="G92" s="36"/>
      <c r="H92" s="36">
        <v>20000000</v>
      </c>
      <c r="I92" s="36"/>
      <c r="J92" s="36">
        <f t="shared" si="15"/>
        <v>20000000</v>
      </c>
      <c r="K92" s="36">
        <v>9050000</v>
      </c>
      <c r="L92" s="62">
        <f aca="true" t="shared" si="16" ref="L92:L97">K92*1.2</f>
        <v>10860000</v>
      </c>
    </row>
    <row r="93" spans="1:12" ht="25.5">
      <c r="A93" s="12">
        <v>6752</v>
      </c>
      <c r="B93" s="22" t="s">
        <v>175</v>
      </c>
      <c r="C93" s="36">
        <v>20000000</v>
      </c>
      <c r="D93" s="36"/>
      <c r="E93" s="36"/>
      <c r="F93" s="36">
        <f t="shared" si="14"/>
        <v>20000000</v>
      </c>
      <c r="G93" s="36"/>
      <c r="H93" s="36">
        <v>36000000</v>
      </c>
      <c r="I93" s="36"/>
      <c r="J93" s="36">
        <f t="shared" si="15"/>
        <v>36000000</v>
      </c>
      <c r="K93" s="36">
        <v>30000000</v>
      </c>
      <c r="L93" s="62">
        <f t="shared" si="16"/>
        <v>36000000</v>
      </c>
    </row>
    <row r="94" spans="1:12" ht="12.75">
      <c r="A94" s="12">
        <v>6756</v>
      </c>
      <c r="B94" s="13" t="s">
        <v>42</v>
      </c>
      <c r="C94" s="36">
        <v>200000000</v>
      </c>
      <c r="D94" s="36"/>
      <c r="E94" s="36"/>
      <c r="F94" s="36">
        <f t="shared" si="14"/>
        <v>200000000</v>
      </c>
      <c r="G94" s="36"/>
      <c r="H94" s="36">
        <v>1500000000</v>
      </c>
      <c r="I94" s="36"/>
      <c r="J94" s="36">
        <f>G94+H94+I94</f>
        <v>1500000000</v>
      </c>
      <c r="K94" s="36">
        <f>932373000+280507020+30000000</f>
        <v>1242880020</v>
      </c>
      <c r="L94" s="62">
        <f t="shared" si="16"/>
        <v>1491456024</v>
      </c>
    </row>
    <row r="95" spans="1:12" ht="12.75">
      <c r="A95" s="12">
        <v>6757</v>
      </c>
      <c r="B95" s="13" t="s">
        <v>211</v>
      </c>
      <c r="C95" s="36"/>
      <c r="D95" s="36"/>
      <c r="E95" s="36"/>
      <c r="F95" s="36"/>
      <c r="G95" s="36"/>
      <c r="H95" s="36">
        <v>655000000</v>
      </c>
      <c r="I95" s="36"/>
      <c r="J95" s="36">
        <f>G95+H95+I95</f>
        <v>655000000</v>
      </c>
      <c r="K95" s="36">
        <v>545928000</v>
      </c>
      <c r="L95" s="62">
        <f t="shared" si="16"/>
        <v>655113600</v>
      </c>
    </row>
    <row r="96" spans="1:12" ht="63.75">
      <c r="A96" s="12">
        <v>6758</v>
      </c>
      <c r="B96" s="22" t="s">
        <v>213</v>
      </c>
      <c r="C96" s="36"/>
      <c r="D96" s="36">
        <v>2330000000</v>
      </c>
      <c r="E96" s="36">
        <v>370000000</v>
      </c>
      <c r="F96" s="36">
        <f t="shared" si="14"/>
        <v>2700000000</v>
      </c>
      <c r="G96" s="36"/>
      <c r="H96" s="36">
        <v>3000000000</v>
      </c>
      <c r="I96" s="36">
        <f>75000000+200000000</f>
        <v>275000000</v>
      </c>
      <c r="J96" s="36">
        <f t="shared" si="15"/>
        <v>3275000000</v>
      </c>
      <c r="K96" s="36">
        <f>2164193036+142707232-132</f>
        <v>2306900136</v>
      </c>
      <c r="L96" s="62">
        <f t="shared" si="16"/>
        <v>2768280163.2</v>
      </c>
    </row>
    <row r="97" spans="1:12" ht="12.75">
      <c r="A97" s="12">
        <v>6799</v>
      </c>
      <c r="B97" s="13" t="s">
        <v>43</v>
      </c>
      <c r="C97" s="36">
        <v>50000000</v>
      </c>
      <c r="D97" s="36"/>
      <c r="E97" s="36"/>
      <c r="F97" s="36">
        <f t="shared" si="14"/>
        <v>50000000</v>
      </c>
      <c r="G97" s="36"/>
      <c r="H97" s="36">
        <v>200000000</v>
      </c>
      <c r="I97" s="36"/>
      <c r="J97" s="36">
        <f t="shared" si="15"/>
        <v>200000000</v>
      </c>
      <c r="K97" s="36">
        <v>166600000</v>
      </c>
      <c r="L97" s="62">
        <f t="shared" si="16"/>
        <v>199920000</v>
      </c>
    </row>
    <row r="98" spans="1:11" ht="12.75">
      <c r="A98" s="9"/>
      <c r="B98" s="10" t="s">
        <v>44</v>
      </c>
      <c r="C98" s="34">
        <v>0</v>
      </c>
      <c r="D98" s="34">
        <v>0</v>
      </c>
      <c r="E98" s="34">
        <v>0</v>
      </c>
      <c r="F98" s="34">
        <f>SUM(C98:E98)</f>
        <v>0</v>
      </c>
      <c r="G98" s="34">
        <v>0</v>
      </c>
      <c r="H98" s="34">
        <v>0</v>
      </c>
      <c r="I98" s="34">
        <v>0</v>
      </c>
      <c r="J98" s="34">
        <f>SUM(G98:I98)</f>
        <v>0</v>
      </c>
      <c r="K98" s="85">
        <v>0</v>
      </c>
    </row>
    <row r="99" spans="1:11" ht="12.75">
      <c r="A99" s="9"/>
      <c r="B99" s="10" t="s">
        <v>45</v>
      </c>
      <c r="C99" s="34">
        <v>0</v>
      </c>
      <c r="D99" s="34">
        <v>0</v>
      </c>
      <c r="E99" s="34">
        <v>0</v>
      </c>
      <c r="F99" s="34">
        <f>SUM(C99:E99)</f>
        <v>0</v>
      </c>
      <c r="G99" s="34">
        <v>0</v>
      </c>
      <c r="H99" s="34">
        <v>0</v>
      </c>
      <c r="I99" s="34">
        <v>0</v>
      </c>
      <c r="J99" s="34">
        <f>SUM(G99:I99)</f>
        <v>0</v>
      </c>
      <c r="K99" s="85">
        <v>0</v>
      </c>
    </row>
    <row r="100" spans="1:11" ht="12.75">
      <c r="A100" s="9">
        <v>7000</v>
      </c>
      <c r="B100" s="10" t="s">
        <v>18</v>
      </c>
      <c r="C100" s="34">
        <f>SUM(C101:C115)</f>
        <v>4682356000</v>
      </c>
      <c r="D100" s="34">
        <f>SUM(D101:D116)</f>
        <v>31280000000</v>
      </c>
      <c r="E100" s="34">
        <f>SUM(E101:E115)</f>
        <v>550000000</v>
      </c>
      <c r="F100" s="34">
        <f>SUM(C100:E100)</f>
        <v>36512356000</v>
      </c>
      <c r="G100" s="34">
        <f>SUM(G101:G115)</f>
        <v>5560000000</v>
      </c>
      <c r="H100" s="34">
        <f>SUM(H101:H116)</f>
        <v>54614259360</v>
      </c>
      <c r="I100" s="34">
        <f>SUM(I101:I115)</f>
        <v>4750000000</v>
      </c>
      <c r="J100" s="34">
        <f>SUM(G100:I100)</f>
        <v>64924259360</v>
      </c>
      <c r="K100" s="66">
        <f>SUM(K101:K116)</f>
        <v>46170740029</v>
      </c>
    </row>
    <row r="101" spans="1:12" ht="25.5">
      <c r="A101" s="12">
        <v>7001</v>
      </c>
      <c r="B101" s="22" t="s">
        <v>126</v>
      </c>
      <c r="C101" s="36">
        <f>2362356000</f>
        <v>2362356000</v>
      </c>
      <c r="D101" s="36">
        <f>1000000000+970000000</f>
        <v>1970000000</v>
      </c>
      <c r="E101" s="36">
        <v>100000000</v>
      </c>
      <c r="F101" s="36">
        <f aca="true" t="shared" si="17" ref="F101:F116">SUM(C101:E101)</f>
        <v>4432356000</v>
      </c>
      <c r="G101" s="36"/>
      <c r="H101" s="36">
        <v>5725455360</v>
      </c>
      <c r="I101" s="36"/>
      <c r="J101" s="36">
        <f>G101+H101+I101</f>
        <v>5725455360</v>
      </c>
      <c r="K101" s="36">
        <v>4784169000</v>
      </c>
      <c r="L101" s="62">
        <f aca="true" t="shared" si="18" ref="L101:L116">K101*1.2</f>
        <v>5741002800</v>
      </c>
    </row>
    <row r="102" spans="1:12" ht="12.75">
      <c r="A102" s="12">
        <v>7002</v>
      </c>
      <c r="B102" s="13" t="s">
        <v>115</v>
      </c>
      <c r="C102" s="36">
        <v>400000000</v>
      </c>
      <c r="D102" s="36"/>
      <c r="E102" s="36"/>
      <c r="F102" s="36">
        <f t="shared" si="17"/>
        <v>400000000</v>
      </c>
      <c r="G102" s="36"/>
      <c r="H102" s="36">
        <v>50000000</v>
      </c>
      <c r="I102" s="36"/>
      <c r="J102" s="36">
        <f aca="true" t="shared" si="19" ref="J102:J111">SUM(G102:I102)</f>
        <v>50000000</v>
      </c>
      <c r="K102" s="36">
        <v>36150000</v>
      </c>
      <c r="L102" s="62">
        <f t="shared" si="18"/>
        <v>43380000</v>
      </c>
    </row>
    <row r="103" spans="1:12" ht="25.5">
      <c r="A103" s="12">
        <v>7003</v>
      </c>
      <c r="B103" s="22" t="s">
        <v>127</v>
      </c>
      <c r="C103" s="36">
        <v>150000000</v>
      </c>
      <c r="D103" s="36"/>
      <c r="E103" s="36"/>
      <c r="F103" s="36">
        <f t="shared" si="17"/>
        <v>150000000</v>
      </c>
      <c r="G103" s="36"/>
      <c r="H103" s="36">
        <v>61000000</v>
      </c>
      <c r="I103" s="36"/>
      <c r="J103" s="36">
        <f t="shared" si="19"/>
        <v>61000000</v>
      </c>
      <c r="K103" s="36">
        <v>50491000</v>
      </c>
      <c r="L103" s="62">
        <f t="shared" si="18"/>
        <v>60589200</v>
      </c>
    </row>
    <row r="104" spans="1:12" ht="12.75">
      <c r="A104" s="12">
        <v>7005</v>
      </c>
      <c r="B104" s="13" t="s">
        <v>46</v>
      </c>
      <c r="C104" s="36">
        <v>270000000</v>
      </c>
      <c r="D104" s="36">
        <v>130000000</v>
      </c>
      <c r="E104" s="36"/>
      <c r="F104" s="36">
        <f t="shared" si="17"/>
        <v>400000000</v>
      </c>
      <c r="G104" s="36"/>
      <c r="H104" s="36">
        <v>187260000</v>
      </c>
      <c r="I104" s="36"/>
      <c r="J104" s="36">
        <f t="shared" si="19"/>
        <v>187260000</v>
      </c>
      <c r="K104" s="36">
        <v>156050000</v>
      </c>
      <c r="L104" s="62">
        <f t="shared" si="18"/>
        <v>187260000</v>
      </c>
    </row>
    <row r="105" spans="1:12" ht="12.75">
      <c r="A105" s="12">
        <v>7006</v>
      </c>
      <c r="B105" s="13" t="s">
        <v>47</v>
      </c>
      <c r="C105" s="36">
        <v>150000000</v>
      </c>
      <c r="D105" s="36">
        <v>360000000</v>
      </c>
      <c r="E105" s="36"/>
      <c r="F105" s="36">
        <f t="shared" si="17"/>
        <v>510000000</v>
      </c>
      <c r="G105" s="36"/>
      <c r="H105" s="36">
        <v>560544000</v>
      </c>
      <c r="I105" s="36"/>
      <c r="J105" s="36">
        <f t="shared" si="19"/>
        <v>560544000</v>
      </c>
      <c r="K105" s="36">
        <v>467120000</v>
      </c>
      <c r="L105" s="62">
        <f t="shared" si="18"/>
        <v>560544000</v>
      </c>
    </row>
    <row r="106" spans="1:12" ht="12.75">
      <c r="A106" s="12">
        <v>7007</v>
      </c>
      <c r="B106" s="13" t="s">
        <v>116</v>
      </c>
      <c r="C106" s="36">
        <v>400000000</v>
      </c>
      <c r="D106" s="36">
        <v>80000000</v>
      </c>
      <c r="E106" s="36"/>
      <c r="F106" s="36">
        <f t="shared" si="17"/>
        <v>480000000</v>
      </c>
      <c r="G106" s="36"/>
      <c r="H106" s="36">
        <v>400000000</v>
      </c>
      <c r="I106" s="36"/>
      <c r="J106" s="36">
        <f t="shared" si="19"/>
        <v>400000000</v>
      </c>
      <c r="K106" s="36">
        <v>321960000</v>
      </c>
      <c r="L106" s="62">
        <f t="shared" si="18"/>
        <v>386352000</v>
      </c>
    </row>
    <row r="107" spans="1:12" ht="12.75">
      <c r="A107" s="12">
        <v>7017</v>
      </c>
      <c r="B107" s="22" t="s">
        <v>229</v>
      </c>
      <c r="C107" s="36">
        <v>140000000</v>
      </c>
      <c r="D107" s="36">
        <f>500000000</f>
        <v>500000000</v>
      </c>
      <c r="E107" s="36">
        <v>100000000</v>
      </c>
      <c r="F107" s="36">
        <f t="shared" si="17"/>
        <v>740000000</v>
      </c>
      <c r="G107" s="36"/>
      <c r="H107" s="36">
        <v>2920000000</v>
      </c>
      <c r="I107" s="36"/>
      <c r="J107" s="36">
        <f t="shared" si="19"/>
        <v>2920000000</v>
      </c>
      <c r="K107" s="36">
        <v>2826889395</v>
      </c>
      <c r="L107" s="62">
        <f t="shared" si="18"/>
        <v>3392267274</v>
      </c>
    </row>
    <row r="108" spans="1:12" ht="25.5">
      <c r="A108" s="12">
        <v>7049</v>
      </c>
      <c r="B108" s="22" t="s">
        <v>169</v>
      </c>
      <c r="C108" s="36">
        <v>250000000</v>
      </c>
      <c r="D108" s="36"/>
      <c r="E108" s="36"/>
      <c r="F108" s="36">
        <f t="shared" si="17"/>
        <v>250000000</v>
      </c>
      <c r="G108" s="36"/>
      <c r="H108" s="36">
        <v>500000000</v>
      </c>
      <c r="I108" s="36">
        <v>4750000000</v>
      </c>
      <c r="J108" s="36">
        <f t="shared" si="19"/>
        <v>5250000000</v>
      </c>
      <c r="K108" s="36">
        <f>177731340+36295000+143000000</f>
        <v>357026340</v>
      </c>
      <c r="L108" s="62">
        <f t="shared" si="18"/>
        <v>428431608</v>
      </c>
    </row>
    <row r="109" spans="1:12" ht="12.75">
      <c r="A109" s="12"/>
      <c r="B109" s="22" t="s">
        <v>160</v>
      </c>
      <c r="C109" s="36"/>
      <c r="D109" s="36">
        <v>2000000000</v>
      </c>
      <c r="E109" s="36"/>
      <c r="F109" s="36">
        <f>C109+D109+E109</f>
        <v>2000000000</v>
      </c>
      <c r="G109" s="36"/>
      <c r="H109" s="36">
        <v>10590000000</v>
      </c>
      <c r="I109" s="36"/>
      <c r="J109" s="36">
        <f t="shared" si="19"/>
        <v>10590000000</v>
      </c>
      <c r="K109" s="36">
        <v>8825000000</v>
      </c>
      <c r="L109" s="62">
        <f t="shared" si="18"/>
        <v>10590000000</v>
      </c>
    </row>
    <row r="110" spans="1:12" ht="12.75">
      <c r="A110" s="12"/>
      <c r="B110" s="22" t="s">
        <v>161</v>
      </c>
      <c r="C110" s="36"/>
      <c r="D110" s="36">
        <v>10100000000</v>
      </c>
      <c r="E110" s="36"/>
      <c r="F110" s="36">
        <f>C110+D110+E110</f>
        <v>10100000000</v>
      </c>
      <c r="G110" s="36"/>
      <c r="H110" s="36">
        <v>14000000000</v>
      </c>
      <c r="I110" s="36"/>
      <c r="J110" s="36">
        <f t="shared" si="19"/>
        <v>14000000000</v>
      </c>
      <c r="K110" s="36">
        <v>12050729054</v>
      </c>
      <c r="L110" s="62">
        <f t="shared" si="18"/>
        <v>14460874864.8</v>
      </c>
    </row>
    <row r="111" spans="1:12" ht="12.75">
      <c r="A111" s="12"/>
      <c r="B111" s="22" t="s">
        <v>162</v>
      </c>
      <c r="C111" s="36">
        <v>460000000</v>
      </c>
      <c r="D111" s="36">
        <f>6500000000-460000000-700000000</f>
        <v>5340000000</v>
      </c>
      <c r="E111" s="36">
        <v>350000000</v>
      </c>
      <c r="F111" s="36">
        <f>C111+D111+E111</f>
        <v>6150000000</v>
      </c>
      <c r="G111" s="36">
        <v>5560000000</v>
      </c>
      <c r="H111" s="36">
        <v>9500000000</v>
      </c>
      <c r="I111" s="36"/>
      <c r="J111" s="36">
        <f t="shared" si="19"/>
        <v>15060000000</v>
      </c>
      <c r="K111" s="36">
        <v>7920924340</v>
      </c>
      <c r="L111" s="62">
        <f t="shared" si="18"/>
        <v>9505109208</v>
      </c>
    </row>
    <row r="112" spans="1:12" ht="12.75">
      <c r="A112" s="12"/>
      <c r="B112" s="22" t="s">
        <v>163</v>
      </c>
      <c r="C112" s="36"/>
      <c r="D112" s="36">
        <v>200000000</v>
      </c>
      <c r="E112" s="36"/>
      <c r="F112" s="36">
        <f>C112+D112+E112</f>
        <v>200000000</v>
      </c>
      <c r="G112" s="36"/>
      <c r="H112" s="36">
        <v>200000000</v>
      </c>
      <c r="I112" s="36"/>
      <c r="J112" s="36">
        <f>G112+H112+I112</f>
        <v>200000000</v>
      </c>
      <c r="K112" s="36">
        <v>143871000</v>
      </c>
      <c r="L112" s="62">
        <f t="shared" si="18"/>
        <v>172645200</v>
      </c>
    </row>
    <row r="113" spans="1:12" ht="25.5">
      <c r="A113" s="12"/>
      <c r="B113" s="22" t="s">
        <v>194</v>
      </c>
      <c r="C113" s="36"/>
      <c r="D113" s="36">
        <v>4500000000</v>
      </c>
      <c r="E113" s="36"/>
      <c r="F113" s="36">
        <f t="shared" si="17"/>
        <v>4500000000</v>
      </c>
      <c r="G113" s="36"/>
      <c r="H113" s="36">
        <v>5600000000</v>
      </c>
      <c r="I113" s="36"/>
      <c r="J113" s="36">
        <f>SUM(G113:I113)</f>
        <v>5600000000</v>
      </c>
      <c r="K113" s="36">
        <v>4694410000</v>
      </c>
      <c r="L113" s="62">
        <f t="shared" si="18"/>
        <v>5633292000</v>
      </c>
    </row>
    <row r="114" spans="1:12" ht="12.75">
      <c r="A114" s="12"/>
      <c r="B114" s="13" t="s">
        <v>168</v>
      </c>
      <c r="C114" s="36"/>
      <c r="D114" s="36">
        <v>100000000</v>
      </c>
      <c r="E114" s="36"/>
      <c r="F114" s="36">
        <f t="shared" si="17"/>
        <v>100000000</v>
      </c>
      <c r="G114" s="36"/>
      <c r="H114" s="36">
        <v>120000000</v>
      </c>
      <c r="I114" s="36"/>
      <c r="J114" s="36">
        <f>SUM(G114:I114)</f>
        <v>120000000</v>
      </c>
      <c r="K114" s="36">
        <v>98000000</v>
      </c>
      <c r="L114" s="62">
        <f t="shared" si="18"/>
        <v>117600000</v>
      </c>
    </row>
    <row r="115" spans="1:12" ht="12.75">
      <c r="A115" s="12"/>
      <c r="B115" s="13" t="s">
        <v>140</v>
      </c>
      <c r="C115" s="36">
        <v>100000000</v>
      </c>
      <c r="D115" s="36">
        <v>2000000000</v>
      </c>
      <c r="E115" s="36"/>
      <c r="F115" s="36">
        <f t="shared" si="17"/>
        <v>2100000000</v>
      </c>
      <c r="G115" s="36"/>
      <c r="H115" s="36">
        <v>1000000000</v>
      </c>
      <c r="I115" s="36"/>
      <c r="J115" s="36">
        <f>SUM(G115:I115)</f>
        <v>1000000000</v>
      </c>
      <c r="K115" s="36">
        <f>702811900+127925000</f>
        <v>830736900</v>
      </c>
      <c r="L115" s="62">
        <f t="shared" si="18"/>
        <v>996884280</v>
      </c>
    </row>
    <row r="116" spans="1:12" ht="80.25" customHeight="1">
      <c r="A116" s="12"/>
      <c r="B116" s="22" t="s">
        <v>212</v>
      </c>
      <c r="C116" s="36">
        <v>1000000000</v>
      </c>
      <c r="D116" s="36">
        <v>4000000000</v>
      </c>
      <c r="E116" s="36"/>
      <c r="F116" s="36">
        <f t="shared" si="17"/>
        <v>5000000000</v>
      </c>
      <c r="G116" s="36"/>
      <c r="H116" s="36">
        <v>3200000000</v>
      </c>
      <c r="I116" s="36"/>
      <c r="J116" s="36">
        <f>SUM(G116:I116)</f>
        <v>3200000000</v>
      </c>
      <c r="K116" s="36">
        <f>268343000+750500000+181470000+606900000+800000000</f>
        <v>2607213000</v>
      </c>
      <c r="L116" s="62">
        <f t="shared" si="18"/>
        <v>3128655600</v>
      </c>
    </row>
    <row r="117" spans="1:11" ht="12.75">
      <c r="A117" s="9" t="s">
        <v>49</v>
      </c>
      <c r="B117" s="35" t="s">
        <v>48</v>
      </c>
      <c r="C117" s="34">
        <f aca="true" t="shared" si="20" ref="C117:J117">C118+C126+C127+C128</f>
        <v>3000000000</v>
      </c>
      <c r="D117" s="34">
        <f t="shared" si="20"/>
        <v>22961440000</v>
      </c>
      <c r="E117" s="34">
        <f t="shared" si="20"/>
        <v>700000000</v>
      </c>
      <c r="F117" s="34">
        <f t="shared" si="20"/>
        <v>26661440000</v>
      </c>
      <c r="G117" s="34">
        <f t="shared" si="20"/>
        <v>0</v>
      </c>
      <c r="H117" s="34">
        <f t="shared" si="20"/>
        <v>17831626660</v>
      </c>
      <c r="I117" s="34">
        <f t="shared" si="20"/>
        <v>5000000000</v>
      </c>
      <c r="J117" s="34">
        <f t="shared" si="20"/>
        <v>22831626660</v>
      </c>
      <c r="K117" s="65">
        <f>K118+K126+K127+K128</f>
        <v>44399299515</v>
      </c>
    </row>
    <row r="118" spans="1:11" ht="12.75">
      <c r="A118" s="9">
        <v>6900</v>
      </c>
      <c r="B118" s="10" t="s">
        <v>50</v>
      </c>
      <c r="C118" s="34">
        <f>SUM(C119:C125)</f>
        <v>0</v>
      </c>
      <c r="D118" s="34">
        <f>SUM(D119:D125)</f>
        <v>780000000</v>
      </c>
      <c r="E118" s="34">
        <f>SUM(E119:E125)</f>
        <v>0</v>
      </c>
      <c r="F118" s="34">
        <f>SUM(C118:E118)</f>
        <v>780000000</v>
      </c>
      <c r="G118" s="34">
        <f>SUM(G119:G125)</f>
        <v>0</v>
      </c>
      <c r="H118" s="34">
        <f>SUM(H119:H125)</f>
        <v>1638205000</v>
      </c>
      <c r="I118" s="34">
        <f>SUM(I119:I125)</f>
        <v>0</v>
      </c>
      <c r="J118" s="34">
        <f>SUM(G118:I118)</f>
        <v>1638205000</v>
      </c>
      <c r="K118" s="34">
        <f>SUM(K119:K125)</f>
        <v>1360792515</v>
      </c>
    </row>
    <row r="119" spans="1:12" ht="12.75">
      <c r="A119" s="12">
        <v>6902</v>
      </c>
      <c r="B119" s="13" t="s">
        <v>51</v>
      </c>
      <c r="C119" s="36"/>
      <c r="D119" s="36">
        <v>230000000</v>
      </c>
      <c r="E119" s="36"/>
      <c r="F119" s="36">
        <f aca="true" t="shared" si="21" ref="F119:F133">SUM(C119:E119)</f>
        <v>230000000</v>
      </c>
      <c r="G119" s="36"/>
      <c r="H119" s="36">
        <v>252470000</v>
      </c>
      <c r="I119" s="36"/>
      <c r="J119" s="36">
        <f>SUM(G119:I119)</f>
        <v>252470000</v>
      </c>
      <c r="K119" s="36">
        <v>210392000</v>
      </c>
      <c r="L119" s="62">
        <f aca="true" t="shared" si="22" ref="L119:L127">K119*1.2</f>
        <v>252470400</v>
      </c>
    </row>
    <row r="120" spans="1:12" ht="12.75">
      <c r="A120" s="12"/>
      <c r="B120" s="13" t="s">
        <v>52</v>
      </c>
      <c r="C120" s="36"/>
      <c r="D120" s="36">
        <v>100000000</v>
      </c>
      <c r="E120" s="36"/>
      <c r="F120" s="36">
        <f t="shared" si="21"/>
        <v>100000000</v>
      </c>
      <c r="G120" s="36"/>
      <c r="H120" s="36">
        <v>322638000</v>
      </c>
      <c r="I120" s="36"/>
      <c r="J120" s="36">
        <f aca="true" t="shared" si="23" ref="J120:J125">SUM(G120:H120)</f>
        <v>322638000</v>
      </c>
      <c r="K120" s="36">
        <v>268865000</v>
      </c>
      <c r="L120" s="62">
        <f t="shared" si="22"/>
        <v>322638000</v>
      </c>
    </row>
    <row r="121" spans="1:12" ht="12.75">
      <c r="A121" s="12"/>
      <c r="B121" s="13" t="s">
        <v>53</v>
      </c>
      <c r="C121" s="36"/>
      <c r="D121" s="36">
        <v>200000000</v>
      </c>
      <c r="E121" s="36"/>
      <c r="F121" s="36">
        <f t="shared" si="21"/>
        <v>200000000</v>
      </c>
      <c r="G121" s="36"/>
      <c r="H121" s="36">
        <v>451032000</v>
      </c>
      <c r="I121" s="36"/>
      <c r="J121" s="36">
        <f t="shared" si="23"/>
        <v>451032000</v>
      </c>
      <c r="K121" s="36">
        <f>309721515+27599000+38540000</f>
        <v>375860515</v>
      </c>
      <c r="L121" s="62">
        <f t="shared" si="22"/>
        <v>451032618</v>
      </c>
    </row>
    <row r="122" spans="1:12" ht="12.75">
      <c r="A122" s="12"/>
      <c r="B122" s="13" t="s">
        <v>54</v>
      </c>
      <c r="C122" s="36"/>
      <c r="D122" s="36">
        <v>50000000</v>
      </c>
      <c r="E122" s="36"/>
      <c r="F122" s="36">
        <f t="shared" si="21"/>
        <v>50000000</v>
      </c>
      <c r="G122" s="36"/>
      <c r="H122" s="36">
        <v>20502000</v>
      </c>
      <c r="I122" s="36"/>
      <c r="J122" s="36">
        <f t="shared" si="23"/>
        <v>20502000</v>
      </c>
      <c r="K122" s="36">
        <v>17085000</v>
      </c>
      <c r="L122" s="62">
        <f t="shared" si="22"/>
        <v>20502000</v>
      </c>
    </row>
    <row r="123" spans="1:12" ht="12.75">
      <c r="A123" s="12"/>
      <c r="B123" s="13" t="s">
        <v>192</v>
      </c>
      <c r="C123" s="36"/>
      <c r="D123" s="36"/>
      <c r="E123" s="36"/>
      <c r="F123" s="36"/>
      <c r="G123" s="36"/>
      <c r="H123" s="36">
        <v>31563000</v>
      </c>
      <c r="I123" s="36"/>
      <c r="J123" s="36">
        <f t="shared" si="23"/>
        <v>31563000</v>
      </c>
      <c r="K123" s="36">
        <v>26303000</v>
      </c>
      <c r="L123" s="62">
        <f t="shared" si="22"/>
        <v>31563600</v>
      </c>
    </row>
    <row r="124" spans="1:12" ht="12.75">
      <c r="A124" s="12">
        <v>6905</v>
      </c>
      <c r="B124" s="13" t="s">
        <v>55</v>
      </c>
      <c r="C124" s="36"/>
      <c r="D124" s="36">
        <v>150000000</v>
      </c>
      <c r="E124" s="36"/>
      <c r="F124" s="36">
        <f t="shared" si="21"/>
        <v>150000000</v>
      </c>
      <c r="G124" s="36"/>
      <c r="H124" s="36">
        <v>40000000</v>
      </c>
      <c r="I124" s="36"/>
      <c r="J124" s="36">
        <f t="shared" si="23"/>
        <v>40000000</v>
      </c>
      <c r="K124" s="36">
        <v>33050000</v>
      </c>
      <c r="L124" s="62">
        <f t="shared" si="22"/>
        <v>39660000</v>
      </c>
    </row>
    <row r="125" spans="1:12" ht="12.75">
      <c r="A125" s="12"/>
      <c r="B125" s="13" t="s">
        <v>185</v>
      </c>
      <c r="C125" s="36"/>
      <c r="D125" s="36">
        <v>50000000</v>
      </c>
      <c r="E125" s="36"/>
      <c r="F125" s="36">
        <f t="shared" si="21"/>
        <v>50000000</v>
      </c>
      <c r="G125" s="36"/>
      <c r="H125" s="36">
        <v>520000000</v>
      </c>
      <c r="I125" s="36"/>
      <c r="J125" s="36">
        <f t="shared" si="23"/>
        <v>520000000</v>
      </c>
      <c r="K125" s="36">
        <v>429237000</v>
      </c>
      <c r="L125" s="62">
        <f t="shared" si="22"/>
        <v>515084400</v>
      </c>
    </row>
    <row r="126" spans="1:12" ht="12.75">
      <c r="A126" s="9"/>
      <c r="B126" s="10" t="s">
        <v>56</v>
      </c>
      <c r="C126" s="34">
        <v>0</v>
      </c>
      <c r="D126" s="61">
        <v>15813340000</v>
      </c>
      <c r="E126" s="34">
        <v>0</v>
      </c>
      <c r="F126" s="34">
        <f>SUM(C126:E126)</f>
        <v>15813340000</v>
      </c>
      <c r="G126" s="34">
        <v>0</v>
      </c>
      <c r="H126" s="34">
        <v>4380000000</v>
      </c>
      <c r="I126" s="34">
        <v>0</v>
      </c>
      <c r="J126" s="34">
        <f>SUM(G126:I126)</f>
        <v>4380000000</v>
      </c>
      <c r="K126" s="34">
        <v>5629303000</v>
      </c>
      <c r="L126" s="62">
        <f t="shared" si="22"/>
        <v>6755163600</v>
      </c>
    </row>
    <row r="127" spans="1:12" ht="12.75">
      <c r="A127" s="9"/>
      <c r="B127" s="10" t="s">
        <v>67</v>
      </c>
      <c r="C127" s="34">
        <v>540000000</v>
      </c>
      <c r="D127" s="34">
        <v>0</v>
      </c>
      <c r="E127" s="34">
        <v>0</v>
      </c>
      <c r="F127" s="64">
        <f t="shared" si="21"/>
        <v>540000000</v>
      </c>
      <c r="G127" s="34"/>
      <c r="H127" s="34"/>
      <c r="I127" s="34"/>
      <c r="J127" s="34">
        <f>G127+H127+I127</f>
        <v>0</v>
      </c>
      <c r="K127" s="34">
        <v>18000000</v>
      </c>
      <c r="L127" s="62">
        <f t="shared" si="22"/>
        <v>21600000</v>
      </c>
    </row>
    <row r="128" spans="1:11" ht="12.75">
      <c r="A128" s="9">
        <v>9000</v>
      </c>
      <c r="B128" s="10" t="s">
        <v>66</v>
      </c>
      <c r="C128" s="34">
        <v>2460000000</v>
      </c>
      <c r="D128" s="34">
        <f>SUM(D129:D133)</f>
        <v>6368100000</v>
      </c>
      <c r="E128" s="34">
        <f>SUM(E129:E133)</f>
        <v>700000000</v>
      </c>
      <c r="F128" s="34">
        <f t="shared" si="21"/>
        <v>9528100000</v>
      </c>
      <c r="G128" s="34">
        <f>G129+G130+G131+G132+G133</f>
        <v>0</v>
      </c>
      <c r="H128" s="34">
        <f>H129+H130+H131+H132+H133</f>
        <v>11813421660</v>
      </c>
      <c r="I128" s="34">
        <f>I129+I130+I131+I132+I133</f>
        <v>5000000000</v>
      </c>
      <c r="J128" s="34">
        <f>J129+J130+J131+J132+J133</f>
        <v>16813421660</v>
      </c>
      <c r="K128" s="65">
        <f>SUM(K129:K133)</f>
        <v>37391204000</v>
      </c>
    </row>
    <row r="129" spans="1:12" ht="12.75">
      <c r="A129" s="12">
        <v>9001</v>
      </c>
      <c r="B129" s="22" t="s">
        <v>181</v>
      </c>
      <c r="C129" s="36"/>
      <c r="D129" s="36"/>
      <c r="E129" s="36"/>
      <c r="F129" s="36">
        <f t="shared" si="21"/>
        <v>0</v>
      </c>
      <c r="G129" s="36"/>
      <c r="H129" s="36"/>
      <c r="I129" s="36"/>
      <c r="J129" s="36">
        <f>SUM(G129:I129)</f>
        <v>0</v>
      </c>
      <c r="K129" s="36">
        <v>0</v>
      </c>
      <c r="L129" s="62">
        <f>K129*1.2</f>
        <v>0</v>
      </c>
    </row>
    <row r="130" spans="1:12" ht="12.75">
      <c r="A130" s="12">
        <v>9055</v>
      </c>
      <c r="B130" s="13" t="s">
        <v>57</v>
      </c>
      <c r="C130" s="36">
        <v>3000000000</v>
      </c>
      <c r="D130" s="36">
        <v>4300000000</v>
      </c>
      <c r="E130" s="36">
        <v>700000000</v>
      </c>
      <c r="F130" s="36">
        <f t="shared" si="21"/>
        <v>8000000000</v>
      </c>
      <c r="G130" s="36"/>
      <c r="H130" s="36">
        <v>11813421660</v>
      </c>
      <c r="I130" s="36">
        <v>5000000000</v>
      </c>
      <c r="J130" s="36">
        <f>SUM(G130:I130)</f>
        <v>16813421660</v>
      </c>
      <c r="K130" s="36">
        <v>37170210000</v>
      </c>
      <c r="L130" s="62">
        <f>K130*1.2</f>
        <v>44604252000</v>
      </c>
    </row>
    <row r="131" spans="1:12" ht="12.75">
      <c r="A131" s="12">
        <v>9062</v>
      </c>
      <c r="B131" s="13" t="s">
        <v>58</v>
      </c>
      <c r="C131" s="36"/>
      <c r="D131" s="36"/>
      <c r="E131" s="36"/>
      <c r="F131" s="36">
        <f t="shared" si="21"/>
        <v>0</v>
      </c>
      <c r="G131" s="36"/>
      <c r="H131" s="36"/>
      <c r="I131" s="36"/>
      <c r="J131" s="36">
        <f>SUM(G131:I131)</f>
        <v>0</v>
      </c>
      <c r="K131" s="84"/>
      <c r="L131" s="62">
        <f>K131*1.2</f>
        <v>0</v>
      </c>
    </row>
    <row r="132" spans="1:12" ht="12.75">
      <c r="A132" s="12">
        <v>9063</v>
      </c>
      <c r="B132" s="13" t="s">
        <v>59</v>
      </c>
      <c r="C132" s="36"/>
      <c r="D132" s="36">
        <v>2068100000</v>
      </c>
      <c r="E132" s="36"/>
      <c r="F132" s="36">
        <f t="shared" si="21"/>
        <v>2068100000</v>
      </c>
      <c r="G132" s="36"/>
      <c r="H132" s="36"/>
      <c r="I132" s="36"/>
      <c r="J132" s="36">
        <f>SUM(G132:I132)</f>
        <v>0</v>
      </c>
      <c r="K132" s="36">
        <f>123530000+97464000</f>
        <v>220994000</v>
      </c>
      <c r="L132" s="62">
        <f>K132*1.2</f>
        <v>265192800</v>
      </c>
    </row>
    <row r="133" spans="1:12" ht="12.75">
      <c r="A133" s="12">
        <v>9099</v>
      </c>
      <c r="B133" s="13" t="s">
        <v>60</v>
      </c>
      <c r="C133" s="36"/>
      <c r="D133" s="36"/>
      <c r="E133" s="36"/>
      <c r="F133" s="36">
        <f t="shared" si="21"/>
        <v>0</v>
      </c>
      <c r="G133" s="36"/>
      <c r="H133" s="36"/>
      <c r="I133" s="36"/>
      <c r="J133" s="36">
        <f>SUM(G133:I133)</f>
        <v>0</v>
      </c>
      <c r="K133" s="84"/>
      <c r="L133" s="62">
        <f>K133*1.2</f>
        <v>0</v>
      </c>
    </row>
    <row r="134" spans="1:11" ht="12.75">
      <c r="A134" s="9" t="s">
        <v>61</v>
      </c>
      <c r="B134" s="35" t="s">
        <v>62</v>
      </c>
      <c r="C134" s="34">
        <f aca="true" t="shared" si="24" ref="C134:J134">C135+C155</f>
        <v>0</v>
      </c>
      <c r="D134" s="34">
        <f t="shared" si="24"/>
        <v>13008750000</v>
      </c>
      <c r="E134" s="34">
        <f t="shared" si="24"/>
        <v>0</v>
      </c>
      <c r="F134" s="34">
        <f t="shared" si="24"/>
        <v>13008750000</v>
      </c>
      <c r="G134" s="34">
        <f t="shared" si="24"/>
        <v>0</v>
      </c>
      <c r="H134" s="34">
        <f t="shared" si="24"/>
        <v>10606247444.4</v>
      </c>
      <c r="I134" s="34">
        <f t="shared" si="24"/>
        <v>0</v>
      </c>
      <c r="J134" s="34">
        <f t="shared" si="24"/>
        <v>10606247444.4</v>
      </c>
      <c r="K134" s="34">
        <f>K135</f>
        <v>8523698534</v>
      </c>
    </row>
    <row r="135" spans="1:11" ht="12.75">
      <c r="A135" s="9">
        <v>7750</v>
      </c>
      <c r="B135" s="10" t="s">
        <v>68</v>
      </c>
      <c r="C135" s="34">
        <f>SUM(C136:C142)</f>
        <v>0</v>
      </c>
      <c r="D135" s="34">
        <f>SUM(D136:D154)</f>
        <v>8330000000</v>
      </c>
      <c r="E135" s="34">
        <f>SUM(E136:E142)</f>
        <v>0</v>
      </c>
      <c r="F135" s="34">
        <f>SUM(F136:F154)</f>
        <v>8330000000</v>
      </c>
      <c r="G135" s="34">
        <f>SUM(G136:G142)</f>
        <v>0</v>
      </c>
      <c r="H135" s="34">
        <f>SUM(H136:H154)</f>
        <v>10606247444.4</v>
      </c>
      <c r="I135" s="34">
        <f>SUM(I136:I142)</f>
        <v>0</v>
      </c>
      <c r="J135" s="34">
        <f>SUM(J136:J154)</f>
        <v>10606247444.4</v>
      </c>
      <c r="K135" s="34">
        <f>SUM(K136:K154)</f>
        <v>8523698534</v>
      </c>
    </row>
    <row r="136" spans="1:12" ht="12.75">
      <c r="A136" s="12"/>
      <c r="B136" s="13" t="s">
        <v>63</v>
      </c>
      <c r="C136" s="36"/>
      <c r="D136" s="36">
        <v>20000000</v>
      </c>
      <c r="E136" s="36"/>
      <c r="F136" s="36">
        <f aca="true" t="shared" si="25" ref="F136:F154">SUM(C136:E136)</f>
        <v>20000000</v>
      </c>
      <c r="G136" s="36"/>
      <c r="H136" s="36">
        <v>28140000</v>
      </c>
      <c r="I136" s="36"/>
      <c r="J136" s="36">
        <f>G136+H136+I136</f>
        <v>28140000</v>
      </c>
      <c r="K136" s="36">
        <v>23450000</v>
      </c>
      <c r="L136" s="62">
        <f aca="true" t="shared" si="26" ref="L136:L154">K136*1.2</f>
        <v>28140000</v>
      </c>
    </row>
    <row r="137" spans="1:12" ht="12.75">
      <c r="A137" s="12"/>
      <c r="B137" s="13" t="s">
        <v>64</v>
      </c>
      <c r="C137" s="36"/>
      <c r="D137" s="36">
        <v>30000000</v>
      </c>
      <c r="E137" s="36"/>
      <c r="F137" s="36">
        <f t="shared" si="25"/>
        <v>30000000</v>
      </c>
      <c r="G137" s="36"/>
      <c r="H137" s="36">
        <v>12282000</v>
      </c>
      <c r="I137" s="36"/>
      <c r="J137" s="36">
        <f aca="true" t="shared" si="27" ref="J137:J157">G137+H137+I137</f>
        <v>12282000</v>
      </c>
      <c r="K137" s="36">
        <v>10235000</v>
      </c>
      <c r="L137" s="62">
        <f t="shared" si="26"/>
        <v>12282000</v>
      </c>
    </row>
    <row r="138" spans="1:12" ht="12.75">
      <c r="A138" s="12"/>
      <c r="B138" s="13" t="s">
        <v>65</v>
      </c>
      <c r="C138" s="36"/>
      <c r="D138" s="36">
        <v>300000000</v>
      </c>
      <c r="E138" s="36"/>
      <c r="F138" s="36">
        <f t="shared" si="25"/>
        <v>300000000</v>
      </c>
      <c r="G138" s="36"/>
      <c r="H138" s="36">
        <v>292432200</v>
      </c>
      <c r="I138" s="36"/>
      <c r="J138" s="36">
        <f t="shared" si="27"/>
        <v>292432200</v>
      </c>
      <c r="K138" s="36">
        <v>243693500</v>
      </c>
      <c r="L138" s="62">
        <f t="shared" si="26"/>
        <v>292432200</v>
      </c>
    </row>
    <row r="139" spans="1:12" ht="12.75">
      <c r="A139" s="13"/>
      <c r="B139" s="13" t="s">
        <v>206</v>
      </c>
      <c r="C139" s="36"/>
      <c r="D139" s="36">
        <v>500000000</v>
      </c>
      <c r="E139" s="36"/>
      <c r="F139" s="36">
        <f t="shared" si="25"/>
        <v>500000000</v>
      </c>
      <c r="G139" s="36"/>
      <c r="H139" s="36">
        <v>421000000</v>
      </c>
      <c r="I139" s="36"/>
      <c r="J139" s="36">
        <f t="shared" si="27"/>
        <v>421000000</v>
      </c>
      <c r="K139" s="36">
        <v>629163000</v>
      </c>
      <c r="L139" s="62">
        <f t="shared" si="26"/>
        <v>754995600</v>
      </c>
    </row>
    <row r="140" spans="1:11" ht="12.75">
      <c r="A140" s="13"/>
      <c r="B140" s="13" t="s">
        <v>207</v>
      </c>
      <c r="C140" s="36"/>
      <c r="D140" s="36"/>
      <c r="E140" s="36"/>
      <c r="F140" s="36"/>
      <c r="G140" s="36"/>
      <c r="H140" s="36">
        <v>615000000</v>
      </c>
      <c r="I140" s="36"/>
      <c r="J140" s="36">
        <f t="shared" si="27"/>
        <v>615000000</v>
      </c>
      <c r="K140" s="36">
        <v>434395997</v>
      </c>
    </row>
    <row r="141" spans="1:11" ht="12.75">
      <c r="A141" s="13"/>
      <c r="B141" s="13" t="s">
        <v>208</v>
      </c>
      <c r="C141" s="36"/>
      <c r="D141" s="36"/>
      <c r="E141" s="36"/>
      <c r="F141" s="36"/>
      <c r="G141" s="36"/>
      <c r="H141" s="36">
        <v>100000000</v>
      </c>
      <c r="I141" s="36"/>
      <c r="J141" s="36">
        <f t="shared" si="27"/>
        <v>100000000</v>
      </c>
      <c r="K141" s="84"/>
    </row>
    <row r="142" spans="1:12" ht="12.75">
      <c r="A142" s="13"/>
      <c r="B142" s="13" t="s">
        <v>209</v>
      </c>
      <c r="C142" s="36"/>
      <c r="D142" s="36">
        <v>150000000</v>
      </c>
      <c r="E142" s="36"/>
      <c r="F142" s="36">
        <f t="shared" si="25"/>
        <v>150000000</v>
      </c>
      <c r="G142" s="36"/>
      <c r="H142" s="36">
        <v>133000000</v>
      </c>
      <c r="I142" s="36"/>
      <c r="J142" s="36">
        <f t="shared" si="27"/>
        <v>133000000</v>
      </c>
      <c r="K142" s="36">
        <v>45600000</v>
      </c>
      <c r="L142" s="62">
        <f t="shared" si="26"/>
        <v>54720000</v>
      </c>
    </row>
    <row r="143" spans="1:12" ht="12.75">
      <c r="A143" s="13"/>
      <c r="B143" s="13" t="s">
        <v>129</v>
      </c>
      <c r="C143" s="36"/>
      <c r="D143" s="36">
        <v>315000000</v>
      </c>
      <c r="E143" s="36"/>
      <c r="F143" s="36">
        <f t="shared" si="25"/>
        <v>315000000</v>
      </c>
      <c r="G143" s="36"/>
      <c r="H143" s="36">
        <v>263700000</v>
      </c>
      <c r="I143" s="36"/>
      <c r="J143" s="36">
        <f t="shared" si="27"/>
        <v>263700000</v>
      </c>
      <c r="K143" s="36">
        <v>219750000</v>
      </c>
      <c r="L143" s="62">
        <f t="shared" si="26"/>
        <v>263700000</v>
      </c>
    </row>
    <row r="144" spans="1:12" ht="12.75">
      <c r="A144" s="13"/>
      <c r="B144" s="13" t="s">
        <v>155</v>
      </c>
      <c r="C144" s="36"/>
      <c r="D144" s="36">
        <v>2000000000</v>
      </c>
      <c r="E144" s="36"/>
      <c r="F144" s="36">
        <f t="shared" si="25"/>
        <v>2000000000</v>
      </c>
      <c r="G144" s="36"/>
      <c r="H144" s="36">
        <v>2637000000</v>
      </c>
      <c r="I144" s="36"/>
      <c r="J144" s="36">
        <f t="shared" si="27"/>
        <v>2637000000</v>
      </c>
      <c r="K144" s="36">
        <v>2197500000</v>
      </c>
      <c r="L144" s="62">
        <f t="shared" si="26"/>
        <v>2637000000</v>
      </c>
    </row>
    <row r="145" spans="1:12" ht="12.75">
      <c r="A145" s="13"/>
      <c r="B145" s="13" t="s">
        <v>130</v>
      </c>
      <c r="C145" s="36"/>
      <c r="D145" s="36">
        <v>500000000</v>
      </c>
      <c r="E145" s="36"/>
      <c r="F145" s="36">
        <f t="shared" si="25"/>
        <v>500000000</v>
      </c>
      <c r="G145" s="36"/>
      <c r="H145" s="36">
        <v>621911400</v>
      </c>
      <c r="I145" s="36"/>
      <c r="J145" s="36">
        <f t="shared" si="27"/>
        <v>621911400</v>
      </c>
      <c r="K145" s="36">
        <v>518259500</v>
      </c>
      <c r="L145" s="62">
        <f t="shared" si="26"/>
        <v>621911400</v>
      </c>
    </row>
    <row r="146" spans="1:12" ht="12.75">
      <c r="A146" s="13"/>
      <c r="B146" s="13" t="s">
        <v>131</v>
      </c>
      <c r="C146" s="36"/>
      <c r="D146" s="36">
        <v>350000000</v>
      </c>
      <c r="E146" s="36"/>
      <c r="F146" s="36">
        <f t="shared" si="25"/>
        <v>350000000</v>
      </c>
      <c r="G146" s="36"/>
      <c r="H146" s="36">
        <v>600000000</v>
      </c>
      <c r="I146" s="36"/>
      <c r="J146" s="36">
        <f t="shared" si="27"/>
        <v>600000000</v>
      </c>
      <c r="K146" s="36">
        <v>133500000</v>
      </c>
      <c r="L146" s="62">
        <f t="shared" si="26"/>
        <v>160200000</v>
      </c>
    </row>
    <row r="147" spans="1:12" ht="12.75">
      <c r="A147" s="13"/>
      <c r="B147" s="13" t="s">
        <v>132</v>
      </c>
      <c r="C147" s="36"/>
      <c r="D147" s="36">
        <v>315000000</v>
      </c>
      <c r="E147" s="36"/>
      <c r="F147" s="36">
        <f t="shared" si="25"/>
        <v>315000000</v>
      </c>
      <c r="G147" s="36"/>
      <c r="H147" s="36">
        <v>952200000</v>
      </c>
      <c r="I147" s="36"/>
      <c r="J147" s="36">
        <f t="shared" si="27"/>
        <v>952200000</v>
      </c>
      <c r="K147" s="36">
        <v>793500000</v>
      </c>
      <c r="L147" s="62">
        <f t="shared" si="26"/>
        <v>952200000</v>
      </c>
    </row>
    <row r="148" spans="1:12" ht="12.75">
      <c r="A148" s="13"/>
      <c r="B148" s="13" t="s">
        <v>133</v>
      </c>
      <c r="C148" s="36"/>
      <c r="D148" s="36">
        <v>170000000</v>
      </c>
      <c r="E148" s="36"/>
      <c r="F148" s="36">
        <f t="shared" si="25"/>
        <v>170000000</v>
      </c>
      <c r="G148" s="36"/>
      <c r="H148" s="36">
        <v>138000000</v>
      </c>
      <c r="I148" s="36"/>
      <c r="J148" s="36">
        <f t="shared" si="27"/>
        <v>138000000</v>
      </c>
      <c r="K148" s="36">
        <v>115000000</v>
      </c>
      <c r="L148" s="62">
        <f t="shared" si="26"/>
        <v>138000000</v>
      </c>
    </row>
    <row r="149" spans="1:12" ht="12.75">
      <c r="A149" s="13"/>
      <c r="B149" s="13" t="s">
        <v>134</v>
      </c>
      <c r="C149" s="36"/>
      <c r="D149" s="36">
        <v>315000000</v>
      </c>
      <c r="E149" s="36"/>
      <c r="F149" s="36">
        <f t="shared" si="25"/>
        <v>315000000</v>
      </c>
      <c r="G149" s="36"/>
      <c r="H149" s="36">
        <v>269700000</v>
      </c>
      <c r="I149" s="36"/>
      <c r="J149" s="36">
        <f t="shared" si="27"/>
        <v>269700000</v>
      </c>
      <c r="K149" s="36">
        <v>224750000</v>
      </c>
      <c r="L149" s="62">
        <f t="shared" si="26"/>
        <v>269700000</v>
      </c>
    </row>
    <row r="150" spans="1:12" ht="12.75">
      <c r="A150" s="13"/>
      <c r="B150" s="13" t="s">
        <v>135</v>
      </c>
      <c r="C150" s="36"/>
      <c r="D150" s="36">
        <v>70000000</v>
      </c>
      <c r="E150" s="36"/>
      <c r="F150" s="36">
        <f t="shared" si="25"/>
        <v>70000000</v>
      </c>
      <c r="G150" s="36"/>
      <c r="H150" s="36">
        <v>44520000</v>
      </c>
      <c r="I150" s="36"/>
      <c r="J150" s="36">
        <f t="shared" si="27"/>
        <v>44520000</v>
      </c>
      <c r="K150" s="36">
        <v>37100000</v>
      </c>
      <c r="L150" s="62">
        <f t="shared" si="26"/>
        <v>44520000</v>
      </c>
    </row>
    <row r="151" spans="1:12" ht="12.75">
      <c r="A151" s="13"/>
      <c r="B151" s="13" t="s">
        <v>136</v>
      </c>
      <c r="C151" s="36"/>
      <c r="D151" s="36">
        <v>315000000</v>
      </c>
      <c r="E151" s="36"/>
      <c r="F151" s="36">
        <f t="shared" si="25"/>
        <v>315000000</v>
      </c>
      <c r="G151" s="36"/>
      <c r="H151" s="36">
        <v>259200000</v>
      </c>
      <c r="I151" s="36"/>
      <c r="J151" s="36">
        <f t="shared" si="27"/>
        <v>259200000</v>
      </c>
      <c r="K151" s="36">
        <v>216000000</v>
      </c>
      <c r="L151" s="62">
        <f t="shared" si="26"/>
        <v>259200000</v>
      </c>
    </row>
    <row r="152" spans="1:12" ht="12.75">
      <c r="A152" s="13"/>
      <c r="B152" s="13" t="s">
        <v>137</v>
      </c>
      <c r="C152" s="36"/>
      <c r="D152" s="36">
        <v>150000000</v>
      </c>
      <c r="E152" s="36"/>
      <c r="F152" s="36">
        <f t="shared" si="25"/>
        <v>150000000</v>
      </c>
      <c r="G152" s="36"/>
      <c r="H152" s="36">
        <v>80280000</v>
      </c>
      <c r="I152" s="36"/>
      <c r="J152" s="36">
        <f t="shared" si="27"/>
        <v>80280000</v>
      </c>
      <c r="K152" s="36">
        <v>66900000</v>
      </c>
      <c r="L152" s="62">
        <f t="shared" si="26"/>
        <v>80280000</v>
      </c>
    </row>
    <row r="153" spans="1:12" ht="12.75">
      <c r="A153" s="13"/>
      <c r="B153" s="13" t="s">
        <v>138</v>
      </c>
      <c r="C153" s="36"/>
      <c r="D153" s="36">
        <v>630000000</v>
      </c>
      <c r="E153" s="36"/>
      <c r="F153" s="36">
        <f t="shared" si="25"/>
        <v>630000000</v>
      </c>
      <c r="G153" s="36"/>
      <c r="H153" s="36">
        <v>526800000</v>
      </c>
      <c r="I153" s="36"/>
      <c r="J153" s="36">
        <f t="shared" si="27"/>
        <v>526800000</v>
      </c>
      <c r="K153" s="36">
        <v>439000000</v>
      </c>
      <c r="L153" s="62">
        <f t="shared" si="26"/>
        <v>526800000</v>
      </c>
    </row>
    <row r="154" spans="1:12" ht="12.75">
      <c r="A154" s="13"/>
      <c r="B154" s="13" t="s">
        <v>141</v>
      </c>
      <c r="C154" s="36"/>
      <c r="D154" s="36">
        <v>2200000000</v>
      </c>
      <c r="E154" s="36"/>
      <c r="F154" s="36">
        <f t="shared" si="25"/>
        <v>2200000000</v>
      </c>
      <c r="G154" s="36"/>
      <c r="H154" s="36">
        <v>2611081844.4</v>
      </c>
      <c r="I154" s="36"/>
      <c r="J154" s="36">
        <f t="shared" si="27"/>
        <v>2611081844.4</v>
      </c>
      <c r="K154" s="36">
        <v>2175901537</v>
      </c>
      <c r="L154" s="62">
        <f t="shared" si="26"/>
        <v>2611081844.4</v>
      </c>
    </row>
    <row r="155" spans="1:12" ht="13.5">
      <c r="A155" s="59" t="s">
        <v>156</v>
      </c>
      <c r="B155" s="18" t="s">
        <v>69</v>
      </c>
      <c r="C155" s="37">
        <f>SUM(C156:C157)</f>
        <v>0</v>
      </c>
      <c r="D155" s="37">
        <f>SUM(D156:D157)</f>
        <v>4678750000</v>
      </c>
      <c r="E155" s="37">
        <f>SUM(E156:E157)</f>
        <v>0</v>
      </c>
      <c r="F155" s="37">
        <f>SUM(C155:E155)</f>
        <v>4678750000</v>
      </c>
      <c r="G155" s="37">
        <f>SUM(G156:G157)</f>
        <v>0</v>
      </c>
      <c r="H155" s="37">
        <f>SUM(H156:H157)</f>
        <v>0</v>
      </c>
      <c r="I155" s="37">
        <f>SUM(I156:I157)</f>
        <v>0</v>
      </c>
      <c r="J155" s="37">
        <f>SUM(G155:I155)</f>
        <v>0</v>
      </c>
      <c r="K155" s="86"/>
      <c r="L155" s="80">
        <f>SUM(L10:L154)</f>
        <v>224271362735.04</v>
      </c>
    </row>
    <row r="156" spans="1:11" ht="13.5">
      <c r="A156" s="17"/>
      <c r="B156" s="13" t="s">
        <v>186</v>
      </c>
      <c r="C156" s="36"/>
      <c r="D156" s="36">
        <f>88575000000*5/100</f>
        <v>4428750000</v>
      </c>
      <c r="E156" s="37"/>
      <c r="F156" s="36">
        <f>SUM(C156:E156)</f>
        <v>4428750000</v>
      </c>
      <c r="G156" s="36"/>
      <c r="H156" s="36"/>
      <c r="I156" s="37"/>
      <c r="J156" s="36">
        <f t="shared" si="27"/>
        <v>0</v>
      </c>
      <c r="K156" s="84"/>
    </row>
    <row r="157" spans="1:11" ht="12.75">
      <c r="A157" s="13"/>
      <c r="B157" s="22" t="s">
        <v>187</v>
      </c>
      <c r="C157" s="36"/>
      <c r="D157" s="36">
        <v>250000000</v>
      </c>
      <c r="E157" s="36"/>
      <c r="F157" s="36">
        <f>SUM(C157:E157)</f>
        <v>250000000</v>
      </c>
      <c r="G157" s="36"/>
      <c r="H157" s="36"/>
      <c r="I157" s="36"/>
      <c r="J157" s="36">
        <f t="shared" si="27"/>
        <v>0</v>
      </c>
      <c r="K157" s="84"/>
    </row>
    <row r="158" spans="1:11" ht="12.75">
      <c r="A158" s="13"/>
      <c r="B158" s="10" t="s">
        <v>70</v>
      </c>
      <c r="C158" s="34">
        <f>C8+C47+C117+C134</f>
        <v>35573800000</v>
      </c>
      <c r="D158" s="34">
        <f>D8+D47+D117+D134</f>
        <v>105659626250</v>
      </c>
      <c r="E158" s="34">
        <f>E7+E155</f>
        <v>1620000000</v>
      </c>
      <c r="F158" s="38">
        <f>SUM(C158:E158)</f>
        <v>142853426250</v>
      </c>
      <c r="G158" s="66">
        <f>G8+G47+G117+G134</f>
        <v>45810000000</v>
      </c>
      <c r="H158" s="34">
        <f>H8+H47+H117+H134</f>
        <v>148381243464.4</v>
      </c>
      <c r="I158" s="34">
        <f>I7+I155</f>
        <v>10025000000</v>
      </c>
      <c r="J158" s="38">
        <f>SUM(G158:I158)</f>
        <v>204216243464.4</v>
      </c>
      <c r="K158" s="87"/>
    </row>
    <row r="159" spans="1:11" ht="12.75">
      <c r="A159" s="39"/>
      <c r="B159" s="40"/>
      <c r="C159" s="41"/>
      <c r="D159" s="41"/>
      <c r="E159" s="41"/>
      <c r="F159" s="42"/>
      <c r="G159" s="41"/>
      <c r="H159" s="41"/>
      <c r="I159" s="41"/>
      <c r="J159" s="42"/>
      <c r="K159" s="42"/>
    </row>
    <row r="160" spans="1:11" ht="12.75">
      <c r="A160" s="43" t="s">
        <v>142</v>
      </c>
      <c r="B160" s="40" t="s">
        <v>157</v>
      </c>
      <c r="C160" s="41"/>
      <c r="D160" s="41"/>
      <c r="E160" s="41"/>
      <c r="F160" s="42"/>
      <c r="G160" s="41"/>
      <c r="H160" s="41"/>
      <c r="I160" s="41"/>
      <c r="J160" s="42"/>
      <c r="K160" s="42"/>
    </row>
    <row r="161" spans="1:11" ht="12.75">
      <c r="A161" s="39"/>
      <c r="B161" s="40" t="s">
        <v>201</v>
      </c>
      <c r="C161" s="44"/>
      <c r="D161" s="44"/>
      <c r="E161" s="44"/>
      <c r="F161" s="41">
        <v>13439918848</v>
      </c>
      <c r="G161" s="44"/>
      <c r="H161" s="44"/>
      <c r="I161" s="44"/>
      <c r="J161" s="41">
        <v>22873002226</v>
      </c>
      <c r="K161" s="41"/>
    </row>
    <row r="162" spans="1:12" s="2" customFormat="1" ht="12.75">
      <c r="A162" s="40"/>
      <c r="B162" s="40" t="s">
        <v>202</v>
      </c>
      <c r="C162" s="41"/>
      <c r="D162" s="41"/>
      <c r="E162" s="41"/>
      <c r="F162" s="41">
        <f>'bao cao thu'!D28</f>
        <v>323555726734</v>
      </c>
      <c r="G162" s="41"/>
      <c r="H162" s="41"/>
      <c r="I162" s="41"/>
      <c r="J162" s="41">
        <f>'bao cao thu'!D29</f>
        <v>346428728960</v>
      </c>
      <c r="K162" s="41"/>
      <c r="L162" s="81"/>
    </row>
    <row r="163" spans="1:12" s="2" customFormat="1" ht="12.75">
      <c r="A163" s="40"/>
      <c r="B163" s="40" t="s">
        <v>203</v>
      </c>
      <c r="C163" s="41"/>
      <c r="D163" s="40"/>
      <c r="F163" s="45">
        <f>F161+F162</f>
        <v>336995645582</v>
      </c>
      <c r="G163" s="41"/>
      <c r="H163" s="40"/>
      <c r="J163" s="45">
        <f>J161+J162</f>
        <v>369301731186</v>
      </c>
      <c r="K163" s="45"/>
      <c r="L163" s="81"/>
    </row>
    <row r="164" spans="1:11" ht="12.75">
      <c r="A164" s="39"/>
      <c r="B164" s="40" t="s">
        <v>204</v>
      </c>
      <c r="C164" s="44"/>
      <c r="D164" s="39"/>
      <c r="F164" s="45">
        <f>F158</f>
        <v>142853426250</v>
      </c>
      <c r="G164" s="44"/>
      <c r="H164" s="39"/>
      <c r="J164" s="45">
        <f>J158</f>
        <v>204216243464.4</v>
      </c>
      <c r="K164" s="45"/>
    </row>
    <row r="165" spans="1:11" ht="12.75">
      <c r="A165" s="39"/>
      <c r="B165" s="40" t="s">
        <v>205</v>
      </c>
      <c r="C165" s="44"/>
      <c r="D165" s="39"/>
      <c r="F165" s="46">
        <f>F161+F162-F164</f>
        <v>194142219332</v>
      </c>
      <c r="G165" s="44"/>
      <c r="H165" s="39"/>
      <c r="J165" s="46">
        <f>J161+J162-J164</f>
        <v>165085487721.6</v>
      </c>
      <c r="K165" s="46"/>
    </row>
    <row r="166" spans="1:11" ht="12.75">
      <c r="A166" s="39"/>
      <c r="B166" s="39" t="s">
        <v>188</v>
      </c>
      <c r="C166" s="44"/>
      <c r="D166" s="39"/>
      <c r="F166" s="27">
        <f>'bao cao thu'!D18*0.4</f>
        <v>29339200000</v>
      </c>
      <c r="G166" s="44"/>
      <c r="H166" s="39"/>
      <c r="J166" s="27">
        <f>'bao cao thu'!D18*0.4</f>
        <v>29339200000</v>
      </c>
      <c r="K166" s="27"/>
    </row>
    <row r="167" spans="1:11" ht="12.75">
      <c r="A167" s="39"/>
      <c r="B167" s="39" t="s">
        <v>182</v>
      </c>
      <c r="C167" s="44"/>
      <c r="D167" s="39"/>
      <c r="F167" s="27">
        <f>F165-F166</f>
        <v>164803019332</v>
      </c>
      <c r="G167" s="44"/>
      <c r="H167" s="39"/>
      <c r="J167" s="27">
        <f>J165-J166</f>
        <v>135746287721.6</v>
      </c>
      <c r="K167" s="27"/>
    </row>
    <row r="168" spans="2:10" ht="12.75">
      <c r="B168" s="39" t="s">
        <v>230</v>
      </c>
      <c r="J168" s="27">
        <f>J166</f>
        <v>29339200000</v>
      </c>
    </row>
    <row r="169" spans="9:10" ht="12.75">
      <c r="I169" s="77" t="s">
        <v>231</v>
      </c>
      <c r="J169" s="45"/>
    </row>
    <row r="170" spans="4:12" s="78" customFormat="1" ht="15">
      <c r="D170" s="79"/>
      <c r="H170" s="79"/>
      <c r="I170" s="78" t="s">
        <v>189</v>
      </c>
      <c r="L170" s="82"/>
    </row>
    <row r="171" s="78" customFormat="1" ht="14.25">
      <c r="L171" s="82"/>
    </row>
    <row r="172" s="78" customFormat="1" ht="14.25">
      <c r="L172" s="82"/>
    </row>
    <row r="173" s="78" customFormat="1" ht="14.25">
      <c r="L173" s="82"/>
    </row>
    <row r="174" s="78" customFormat="1" ht="14.25">
      <c r="L174" s="82"/>
    </row>
    <row r="175" s="78" customFormat="1" ht="14.25">
      <c r="L175" s="82"/>
    </row>
    <row r="176" spans="4:12" s="78" customFormat="1" ht="14.25">
      <c r="D176" s="78" t="s">
        <v>145</v>
      </c>
      <c r="I176" s="78" t="s">
        <v>190</v>
      </c>
      <c r="L176" s="82"/>
    </row>
    <row r="177" ht="12.75">
      <c r="B177" s="2"/>
    </row>
  </sheetData>
  <printOptions/>
  <pageMargins left="0.17" right="0.18" top="0.3" bottom="0.28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2017-07-25T03:10:36Z</cp:lastPrinted>
  <dcterms:created xsi:type="dcterms:W3CDTF">2008-07-22T14:21:28Z</dcterms:created>
  <dcterms:modified xsi:type="dcterms:W3CDTF">2017-08-18T03:44:19Z</dcterms:modified>
  <cp:category/>
  <cp:version/>
  <cp:contentType/>
  <cp:contentStatus/>
</cp:coreProperties>
</file>